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harts/chart13.xml" ContentType="application/vnd.openxmlformats-officedocument.drawingml.chart+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charts/chart14.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O:\Data-Work\22_Plant_Production-CH\226.14_Ökonomie\01_Projekte\011_CH_Projekte\Arbokost\Endversionen_Internet\Arbokost_Internet_2024\"/>
    </mc:Choice>
  </mc:AlternateContent>
  <xr:revisionPtr revIDLastSave="0" documentId="8_{95E99419-972E-4E22-AD50-BA4B14CF858D}" xr6:coauthVersionLast="47" xr6:coauthVersionMax="47" xr10:uidLastSave="{00000000-0000-0000-0000-000000000000}"/>
  <bookViews>
    <workbookView xWindow="-120" yWindow="-120" windowWidth="29040" windowHeight="17640" tabRatio="917" xr2:uid="{00000000-000D-0000-FFFF-FFFF00000000}"/>
  </bookViews>
  <sheets>
    <sheet name="Eingabeseite" sheetId="22715" r:id="rId1"/>
    <sheet name="Var Vorgaben" sheetId="4" r:id="rId2"/>
    <sheet name="Var Erstellung" sheetId="22714" r:id="rId3"/>
    <sheet name="Var 1.-16. Standjahr" sheetId="22723" r:id="rId4"/>
    <sheet name="Var Ertragsphase" sheetId="22725" r:id="rId5"/>
    <sheet name="Var Cashflow" sheetId="22726" r:id="rId6"/>
    <sheet name="Standard Vorgaben" sheetId="16" r:id="rId7"/>
    <sheet name="Standard Erstellung" sheetId="1" r:id="rId8"/>
    <sheet name="Standard 1.-16. Standjahr" sheetId="2" r:id="rId9"/>
    <sheet name="Standard Ertragsphase" sheetId="3" r:id="rId10"/>
    <sheet name="Standard Cashflow" sheetId="5" r:id="rId11"/>
  </sheets>
  <definedNames>
    <definedName name="Andere">#REF!</definedName>
    <definedName name="Andere_Auswahl">OFFSET(Andere,0,0,COUNTIF(Andere,"&gt; "),1)</definedName>
    <definedName name="Anzahl_Behandlungen">#REF!</definedName>
    <definedName name="Anzahl_Behandlungen2">#REF!</definedName>
    <definedName name="Behang">#REF!</definedName>
    <definedName name="Behang_Auswahl">OFFSET(Behang,0,0,COUNTIF(Behang,"&gt; "),1)</definedName>
    <definedName name="Duenger">#REF!</definedName>
    <definedName name="Duenger_Auswahl">OFFSET(Duenger,0,0,COUNTIF(Duenger,"&gt; "),1)</definedName>
    <definedName name="Fungizid">#REF!</definedName>
    <definedName name="Fungizid_Auswahl">OFFSET(Fungizid,0,0,COUNTIF(Fungizid,"&gt; "),1)</definedName>
    <definedName name="Herbizid">#REF!</definedName>
    <definedName name="Herbizid_Auswahl">OFFSET(Herbizid,0,0,COUNTIF(Herbizid,"&gt; "),1)</definedName>
    <definedName name="Insektizid">#REF!</definedName>
    <definedName name="Insektizid_Auswahl">OFFSET(Insektizid,0,0,COUNTIF(Insektizid,"&gt;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 i="2" l="1"/>
  <c r="CV8" i="2"/>
  <c r="CO8" i="2"/>
  <c r="CH8" i="2"/>
  <c r="CA8" i="2"/>
  <c r="BT8" i="2"/>
  <c r="BM8" i="2"/>
  <c r="BF8" i="2"/>
  <c r="AY8" i="2"/>
  <c r="AR8" i="2"/>
  <c r="AK8" i="2"/>
  <c r="AD8" i="2"/>
  <c r="W8" i="2"/>
  <c r="P8" i="2"/>
  <c r="I8" i="2"/>
  <c r="B8" i="2"/>
  <c r="DC8" i="22723"/>
  <c r="CV8" i="22723"/>
  <c r="CO8" i="22723"/>
  <c r="CH8" i="22723"/>
  <c r="CA8" i="22723"/>
  <c r="BT8" i="22723"/>
  <c r="BM8" i="22723"/>
  <c r="BF8" i="22723"/>
  <c r="AY8" i="22723"/>
  <c r="AR8" i="22723"/>
  <c r="AK8" i="22723"/>
  <c r="AD8" i="22723"/>
  <c r="W8" i="22723"/>
  <c r="P8" i="22723"/>
  <c r="I8" i="22723"/>
  <c r="D58" i="3"/>
  <c r="F26" i="3"/>
  <c r="F37" i="3"/>
  <c r="F28" i="3"/>
  <c r="F21" i="3"/>
  <c r="F16" i="3"/>
  <c r="F17" i="2"/>
  <c r="M21" i="2" l="1"/>
  <c r="M20" i="2"/>
  <c r="M19" i="2"/>
  <c r="F21" i="2"/>
  <c r="F20" i="2"/>
  <c r="F19" i="2"/>
  <c r="J42" i="2"/>
  <c r="J41" i="2"/>
  <c r="J38" i="2"/>
  <c r="C42" i="2"/>
  <c r="D48" i="2" s="1"/>
  <c r="C41" i="2"/>
  <c r="C38" i="2"/>
  <c r="K48" i="22723"/>
  <c r="D48" i="22723"/>
  <c r="M38" i="2"/>
  <c r="K48" i="2"/>
  <c r="F39" i="2"/>
  <c r="F43" i="2"/>
  <c r="L38" i="2"/>
  <c r="K38" i="2"/>
  <c r="I38" i="2"/>
  <c r="E38" i="2"/>
  <c r="D38" i="2"/>
  <c r="F38" i="2" s="1"/>
  <c r="B38" i="2"/>
  <c r="K38" i="22723"/>
  <c r="D38" i="22723"/>
  <c r="J42" i="22723"/>
  <c r="J41" i="22723"/>
  <c r="J38" i="22723"/>
  <c r="C42" i="22723"/>
  <c r="C41" i="22723"/>
  <c r="C38" i="22723"/>
  <c r="I38" i="22723"/>
  <c r="B38" i="22723"/>
  <c r="D118" i="16"/>
  <c r="D117" i="16"/>
  <c r="D116" i="16"/>
  <c r="D115" i="16"/>
  <c r="D114" i="16"/>
  <c r="D113" i="16"/>
  <c r="F113" i="16" s="1"/>
  <c r="D112" i="16"/>
  <c r="C120" i="16"/>
  <c r="F119" i="16"/>
  <c r="G119" i="16" s="1"/>
  <c r="E118" i="16"/>
  <c r="F118" i="16" s="1"/>
  <c r="E117" i="16"/>
  <c r="E116" i="16"/>
  <c r="E115" i="16"/>
  <c r="E114" i="16"/>
  <c r="F114" i="16" s="1"/>
  <c r="E113" i="16"/>
  <c r="E112" i="16"/>
  <c r="D113" i="4"/>
  <c r="D118" i="4"/>
  <c r="D117" i="4"/>
  <c r="D116" i="4"/>
  <c r="D115" i="4"/>
  <c r="D114" i="4"/>
  <c r="D112" i="4"/>
  <c r="C120" i="4"/>
  <c r="F119" i="4"/>
  <c r="G119" i="4" s="1"/>
  <c r="E118" i="4"/>
  <c r="F118" i="4" s="1"/>
  <c r="E117" i="4"/>
  <c r="F117" i="4" s="1"/>
  <c r="E116" i="4"/>
  <c r="F116" i="4" s="1"/>
  <c r="E115" i="4"/>
  <c r="F115" i="4" s="1"/>
  <c r="E114" i="4"/>
  <c r="F114" i="4" s="1"/>
  <c r="E113" i="4"/>
  <c r="F113" i="4" s="1"/>
  <c r="E112" i="4"/>
  <c r="F112" i="4" s="1"/>
  <c r="F112" i="16" l="1"/>
  <c r="F116" i="16"/>
  <c r="F117" i="16"/>
  <c r="F115" i="16"/>
  <c r="G118" i="16" s="1"/>
  <c r="G114" i="16"/>
  <c r="G114" i="4"/>
  <c r="G118" i="4"/>
  <c r="C105" i="4" l="1"/>
  <c r="C105" i="16"/>
  <c r="D103" i="16"/>
  <c r="D103" i="4"/>
  <c r="BA62" i="22723"/>
  <c r="BH62" i="22723"/>
  <c r="BH50" i="22723"/>
  <c r="BF50" i="22723"/>
  <c r="BJ24" i="22723"/>
  <c r="BH50" i="2"/>
  <c r="BF50" i="2"/>
  <c r="BA62" i="2"/>
  <c r="BH62" i="2"/>
  <c r="BJ24" i="2"/>
  <c r="CJ62" i="22723" l="1"/>
  <c r="CJ62" i="2"/>
  <c r="I167" i="4" l="1"/>
  <c r="E142" i="4"/>
  <c r="E141" i="4"/>
  <c r="E140" i="4"/>
  <c r="E132" i="4"/>
  <c r="E131" i="4"/>
  <c r="E130" i="4"/>
  <c r="E129" i="4"/>
  <c r="E128" i="4"/>
  <c r="E127" i="4"/>
  <c r="F127" i="4" s="1"/>
  <c r="E126" i="4"/>
  <c r="D164" i="16"/>
  <c r="E142" i="16"/>
  <c r="E141" i="16"/>
  <c r="E140" i="16"/>
  <c r="E129" i="16"/>
  <c r="E131" i="16"/>
  <c r="E130" i="16"/>
  <c r="F130" i="16" s="1"/>
  <c r="E127" i="16"/>
  <c r="F127" i="16" s="1"/>
  <c r="E126" i="16"/>
  <c r="F126" i="16" s="1"/>
  <c r="C14" i="22725"/>
  <c r="CB16" i="2"/>
  <c r="CW16" i="2"/>
  <c r="BG16" i="2"/>
  <c r="DD15" i="2"/>
  <c r="CP15" i="2"/>
  <c r="CI15" i="2"/>
  <c r="BU15" i="2"/>
  <c r="BN15" i="2"/>
  <c r="AZ15" i="2"/>
  <c r="AS15" i="2"/>
  <c r="AL16" i="2"/>
  <c r="AL40" i="2" s="1"/>
  <c r="AE15" i="2"/>
  <c r="CW16" i="22723"/>
  <c r="CB16" i="22723"/>
  <c r="BG16" i="22723"/>
  <c r="DD15" i="22723"/>
  <c r="CP15" i="22723"/>
  <c r="CI15" i="22723"/>
  <c r="BU15" i="22723"/>
  <c r="BN15" i="22723"/>
  <c r="AZ15" i="22723"/>
  <c r="AS15" i="22723"/>
  <c r="AL16" i="22723"/>
  <c r="AE15" i="22723"/>
  <c r="B38" i="22714"/>
  <c r="B28" i="22714"/>
  <c r="B26" i="22714"/>
  <c r="A37" i="22714" s="1"/>
  <c r="C37" i="22714" s="1"/>
  <c r="C28" i="22714"/>
  <c r="C26" i="22714"/>
  <c r="B38" i="1"/>
  <c r="B28" i="1"/>
  <c r="B26" i="1"/>
  <c r="A37" i="1" s="1"/>
  <c r="C37" i="1" s="1"/>
  <c r="C28" i="1"/>
  <c r="C26" i="1"/>
  <c r="J210" i="22715" l="1"/>
  <c r="J209" i="22715"/>
  <c r="A170" i="22725"/>
  <c r="A130" i="22725"/>
  <c r="A128" i="22725"/>
  <c r="A127" i="22725"/>
  <c r="A116" i="22725"/>
  <c r="A115" i="22725"/>
  <c r="A114" i="22725"/>
  <c r="A113" i="22725"/>
  <c r="A112" i="22725"/>
  <c r="A110" i="22725"/>
  <c r="A109" i="22725"/>
  <c r="A108" i="22725"/>
  <c r="A107" i="22725"/>
  <c r="A106" i="22725"/>
  <c r="B44" i="3"/>
  <c r="B43" i="3"/>
  <c r="B42" i="3"/>
  <c r="B44" i="22725"/>
  <c r="B43" i="22725"/>
  <c r="B42" i="22725"/>
  <c r="J211" i="22715" l="1"/>
  <c r="D67" i="22725"/>
  <c r="D66" i="22725"/>
  <c r="D65" i="22725"/>
  <c r="D63" i="22725"/>
  <c r="D61" i="22725"/>
  <c r="D59" i="22725"/>
  <c r="D49" i="22725"/>
  <c r="D48" i="22725"/>
  <c r="D47" i="22725"/>
  <c r="D44" i="22725"/>
  <c r="D43" i="22725"/>
  <c r="D41" i="22725"/>
  <c r="D40" i="22725"/>
  <c r="C45" i="22725"/>
  <c r="C44" i="22725"/>
  <c r="J206" i="22715" s="1"/>
  <c r="C43" i="22725"/>
  <c r="J205" i="22715" s="1"/>
  <c r="C40" i="22725"/>
  <c r="C47" i="22725"/>
  <c r="C49" i="22725"/>
  <c r="C70" i="22725"/>
  <c r="B54" i="22725"/>
  <c r="B53" i="22725"/>
  <c r="B52" i="22725"/>
  <c r="B51" i="22725"/>
  <c r="B49" i="22725"/>
  <c r="B47" i="22725"/>
  <c r="B45" i="22725"/>
  <c r="A167" i="22725" s="1"/>
  <c r="B41" i="22725"/>
  <c r="B40" i="22725"/>
  <c r="J51" i="22725"/>
  <c r="J49" i="22725"/>
  <c r="J48" i="22725"/>
  <c r="J47" i="22725"/>
  <c r="J45" i="22725"/>
  <c r="J44" i="22725"/>
  <c r="K44" i="22725" s="1"/>
  <c r="J43" i="22725"/>
  <c r="J42" i="22725"/>
  <c r="J41" i="22725"/>
  <c r="J40" i="22725"/>
  <c r="F69" i="22725"/>
  <c r="F54" i="22725"/>
  <c r="K54" i="22725" s="1"/>
  <c r="F36" i="22725"/>
  <c r="E34" i="22725"/>
  <c r="A36" i="22725"/>
  <c r="F25" i="22725"/>
  <c r="E26" i="22725"/>
  <c r="B27" i="22725"/>
  <c r="B26" i="22725"/>
  <c r="B25" i="22725"/>
  <c r="F23" i="22725"/>
  <c r="D15" i="22725"/>
  <c r="D14" i="22725"/>
  <c r="D13" i="22725"/>
  <c r="B15" i="22725"/>
  <c r="B14" i="22725"/>
  <c r="B13" i="22725"/>
  <c r="C15" i="22725"/>
  <c r="C13" i="22725"/>
  <c r="C41" i="22725" s="1"/>
  <c r="A20" i="22725"/>
  <c r="A19" i="22725"/>
  <c r="A18" i="22725"/>
  <c r="CJ70" i="22723"/>
  <c r="CI70" i="22723"/>
  <c r="CL69" i="22723"/>
  <c r="CJ66" i="22723"/>
  <c r="CJ65" i="22723"/>
  <c r="CJ64" i="22723"/>
  <c r="CJ61" i="22723"/>
  <c r="CJ59" i="22723"/>
  <c r="CH59" i="22723"/>
  <c r="CH54" i="22723"/>
  <c r="CH53" i="22723"/>
  <c r="CH52" i="22723"/>
  <c r="CH49" i="22723"/>
  <c r="CJ47" i="22723"/>
  <c r="CI47" i="22723"/>
  <c r="CH47" i="22723"/>
  <c r="CJ46" i="22723"/>
  <c r="CJ45" i="22723"/>
  <c r="CI45" i="22723"/>
  <c r="CH45" i="22723"/>
  <c r="CI43" i="22723"/>
  <c r="CH43" i="22723"/>
  <c r="CJ42" i="22723"/>
  <c r="CI42" i="22723"/>
  <c r="CH42" i="22723"/>
  <c r="CJ41" i="22723"/>
  <c r="CI41" i="22723"/>
  <c r="CH41" i="22723"/>
  <c r="CI40" i="22723"/>
  <c r="CH40" i="22723"/>
  <c r="CJ39" i="22723"/>
  <c r="CH39" i="22723"/>
  <c r="CJ38" i="22723"/>
  <c r="CI38" i="22723"/>
  <c r="CH38" i="22723"/>
  <c r="BO62" i="22723"/>
  <c r="BO64" i="22723"/>
  <c r="BO50" i="22723"/>
  <c r="BM50" i="22723"/>
  <c r="BM51" i="22723"/>
  <c r="BO70" i="22723"/>
  <c r="BN70" i="22723"/>
  <c r="BQ69" i="22723"/>
  <c r="BO66" i="22723"/>
  <c r="BO65" i="22723"/>
  <c r="BO61" i="22723"/>
  <c r="BO59" i="22723"/>
  <c r="BM59" i="22723"/>
  <c r="BM54" i="22723"/>
  <c r="BM53" i="22723"/>
  <c r="BM52" i="22723"/>
  <c r="BM49" i="22723"/>
  <c r="BO47" i="22723"/>
  <c r="BN47" i="22723"/>
  <c r="BM47" i="22723"/>
  <c r="BO46" i="22723"/>
  <c r="BO45" i="22723"/>
  <c r="BN45" i="22723"/>
  <c r="BM45" i="22723"/>
  <c r="BN43" i="22723"/>
  <c r="BM43" i="22723"/>
  <c r="BO42" i="22723"/>
  <c r="BN42" i="22723"/>
  <c r="BM42" i="22723"/>
  <c r="BO41" i="22723"/>
  <c r="BN41" i="22723"/>
  <c r="BM41" i="22723"/>
  <c r="BN40" i="22723"/>
  <c r="BM40" i="22723"/>
  <c r="BO39" i="22723"/>
  <c r="BM39" i="22723"/>
  <c r="BO38" i="22723"/>
  <c r="BN38" i="22723"/>
  <c r="BM38" i="22723"/>
  <c r="DE70" i="22723"/>
  <c r="DD70" i="22723"/>
  <c r="DG69" i="22723"/>
  <c r="DE66" i="22723"/>
  <c r="DE65" i="22723"/>
  <c r="DE64" i="22723"/>
  <c r="DE62" i="22723"/>
  <c r="DE61" i="22723"/>
  <c r="DE59" i="22723"/>
  <c r="DC59" i="22723"/>
  <c r="DC54" i="22723"/>
  <c r="DC53" i="22723"/>
  <c r="DC52" i="22723"/>
  <c r="DC49" i="22723"/>
  <c r="DE47" i="22723"/>
  <c r="DD47" i="22723"/>
  <c r="DC47" i="22723"/>
  <c r="DE46" i="22723"/>
  <c r="DE45" i="22723"/>
  <c r="DD45" i="22723"/>
  <c r="DC45" i="22723"/>
  <c r="DD43" i="22723"/>
  <c r="DC43" i="22723"/>
  <c r="DE42" i="22723"/>
  <c r="DD42" i="22723"/>
  <c r="DC42" i="22723"/>
  <c r="DE41" i="22723"/>
  <c r="DD41" i="22723"/>
  <c r="DC41" i="22723"/>
  <c r="DD40" i="22723"/>
  <c r="DC40" i="22723"/>
  <c r="DE39" i="22723"/>
  <c r="DC39" i="22723"/>
  <c r="DE38" i="22723"/>
  <c r="DD38" i="22723"/>
  <c r="DC38" i="22723"/>
  <c r="CX70" i="22723"/>
  <c r="CW70" i="22723"/>
  <c r="CZ69" i="22723"/>
  <c r="CX66" i="22723"/>
  <c r="CX65" i="22723"/>
  <c r="CX64" i="22723"/>
  <c r="CX62" i="22723"/>
  <c r="CX61" i="22723"/>
  <c r="CX59" i="22723"/>
  <c r="CV59" i="22723"/>
  <c r="CV54" i="22723"/>
  <c r="CV53" i="22723"/>
  <c r="CV52" i="22723"/>
  <c r="CV49" i="22723"/>
  <c r="CX47" i="22723"/>
  <c r="CW47" i="22723"/>
  <c r="CV47" i="22723"/>
  <c r="CX46" i="22723"/>
  <c r="CX45" i="22723"/>
  <c r="CW45" i="22723"/>
  <c r="CV45" i="22723"/>
  <c r="CW43" i="22723"/>
  <c r="CV43" i="22723"/>
  <c r="CX42" i="22723"/>
  <c r="CW42" i="22723"/>
  <c r="CV42" i="22723"/>
  <c r="CX41" i="22723"/>
  <c r="CW41" i="22723"/>
  <c r="CV41" i="22723"/>
  <c r="CW40" i="22723"/>
  <c r="CV40" i="22723"/>
  <c r="CX39" i="22723"/>
  <c r="CV39" i="22723"/>
  <c r="CX38" i="22723"/>
  <c r="CW38" i="22723"/>
  <c r="CV38" i="22723"/>
  <c r="CQ70" i="22723"/>
  <c r="CP70" i="22723"/>
  <c r="CS69" i="22723"/>
  <c r="CQ66" i="22723"/>
  <c r="CQ65" i="22723"/>
  <c r="CQ64" i="22723"/>
  <c r="CQ62" i="22723"/>
  <c r="CQ61" i="22723"/>
  <c r="CQ59" i="22723"/>
  <c r="CO59" i="22723"/>
  <c r="CO54" i="22723"/>
  <c r="CO53" i="22723"/>
  <c r="CO52" i="22723"/>
  <c r="CO49" i="22723"/>
  <c r="CQ47" i="22723"/>
  <c r="CP47" i="22723"/>
  <c r="CO47" i="22723"/>
  <c r="CQ46" i="22723"/>
  <c r="CQ45" i="22723"/>
  <c r="CP45" i="22723"/>
  <c r="CO45" i="22723"/>
  <c r="CP43" i="22723"/>
  <c r="CO43" i="22723"/>
  <c r="CQ42" i="22723"/>
  <c r="CP42" i="22723"/>
  <c r="CO42" i="22723"/>
  <c r="CQ41" i="22723"/>
  <c r="CP41" i="22723"/>
  <c r="CO41" i="22723"/>
  <c r="CP40" i="22723"/>
  <c r="CO40" i="22723"/>
  <c r="CQ39" i="22723"/>
  <c r="CO39" i="22723"/>
  <c r="CQ38" i="22723"/>
  <c r="CP38" i="22723"/>
  <c r="CO38" i="22723"/>
  <c r="CC70" i="22723"/>
  <c r="CB70" i="22723"/>
  <c r="CE69" i="22723"/>
  <c r="CC66" i="22723"/>
  <c r="CC65" i="22723"/>
  <c r="CC64" i="22723"/>
  <c r="CC62" i="22723"/>
  <c r="CC61" i="22723"/>
  <c r="CC59" i="22723"/>
  <c r="CA59" i="22723"/>
  <c r="CA54" i="22723"/>
  <c r="CA53" i="22723"/>
  <c r="CA52" i="22723"/>
  <c r="CA49" i="22723"/>
  <c r="CC47" i="22723"/>
  <c r="CB47" i="22723"/>
  <c r="CA47" i="22723"/>
  <c r="CC46" i="22723"/>
  <c r="CC45" i="22723"/>
  <c r="CB45" i="22723"/>
  <c r="CA45" i="22723"/>
  <c r="CB43" i="22723"/>
  <c r="CA43" i="22723"/>
  <c r="CC42" i="22723"/>
  <c r="CB42" i="22723"/>
  <c r="CA42" i="22723"/>
  <c r="CC41" i="22723"/>
  <c r="CB41" i="22723"/>
  <c r="CA41" i="22723"/>
  <c r="CB40" i="22723"/>
  <c r="CA40" i="22723"/>
  <c r="CC39" i="22723"/>
  <c r="CA39" i="22723"/>
  <c r="CC38" i="22723"/>
  <c r="CB38" i="22723"/>
  <c r="CA38" i="22723"/>
  <c r="BV70" i="22723"/>
  <c r="BU70" i="22723"/>
  <c r="BX69" i="22723"/>
  <c r="BV66" i="22723"/>
  <c r="BV65" i="22723"/>
  <c r="BV64" i="22723"/>
  <c r="BV62" i="22723"/>
  <c r="BV61" i="22723"/>
  <c r="BV59" i="22723"/>
  <c r="BT59" i="22723"/>
  <c r="BT54" i="22723"/>
  <c r="BT53" i="22723"/>
  <c r="BT52" i="22723"/>
  <c r="BT49" i="22723"/>
  <c r="BV47" i="22723"/>
  <c r="BU47" i="22723"/>
  <c r="BT47" i="22723"/>
  <c r="BV46" i="22723"/>
  <c r="BV45" i="22723"/>
  <c r="BU45" i="22723"/>
  <c r="BT45" i="22723"/>
  <c r="BU43" i="22723"/>
  <c r="BT43" i="22723"/>
  <c r="BV42" i="22723"/>
  <c r="BU42" i="22723"/>
  <c r="BT42" i="22723"/>
  <c r="BV41" i="22723"/>
  <c r="BU41" i="22723"/>
  <c r="BT41" i="22723"/>
  <c r="BU40" i="22723"/>
  <c r="BT40" i="22723"/>
  <c r="BV39" i="22723"/>
  <c r="BT39" i="22723"/>
  <c r="BV38" i="22723"/>
  <c r="BU38" i="22723"/>
  <c r="BT38" i="22723"/>
  <c r="BH70" i="22723"/>
  <c r="BG70" i="22723"/>
  <c r="BJ69" i="22723"/>
  <c r="BH66" i="22723"/>
  <c r="BH65" i="22723"/>
  <c r="BH64" i="22723"/>
  <c r="BH61" i="22723"/>
  <c r="BH59" i="22723"/>
  <c r="BF59" i="22723"/>
  <c r="BF54" i="22723"/>
  <c r="BF53" i="22723"/>
  <c r="BF52" i="22723"/>
  <c r="BF49" i="22723"/>
  <c r="BH47" i="22723"/>
  <c r="BG47" i="22723"/>
  <c r="BF47" i="22723"/>
  <c r="BH46" i="22723"/>
  <c r="BH45" i="22723"/>
  <c r="BG45" i="22723"/>
  <c r="BF45" i="22723"/>
  <c r="BG43" i="22723"/>
  <c r="BF43" i="22723"/>
  <c r="BH42" i="22723"/>
  <c r="BG42" i="22723"/>
  <c r="BF42" i="22723"/>
  <c r="BH41" i="22723"/>
  <c r="BG41" i="22723"/>
  <c r="BF41" i="22723"/>
  <c r="BG40" i="22723"/>
  <c r="BF40" i="22723"/>
  <c r="BH39" i="22723"/>
  <c r="BF39" i="22723"/>
  <c r="BH38" i="22723"/>
  <c r="BG38" i="22723"/>
  <c r="BF38" i="22723"/>
  <c r="AY54" i="22723"/>
  <c r="AY53" i="22723"/>
  <c r="AY52" i="22723"/>
  <c r="BA70" i="22723"/>
  <c r="AZ70" i="22723"/>
  <c r="BC69" i="22723"/>
  <c r="BA66" i="22723"/>
  <c r="BA65" i="22723"/>
  <c r="BA64" i="22723"/>
  <c r="BA61" i="22723"/>
  <c r="BA59" i="22723"/>
  <c r="AY59" i="22723"/>
  <c r="AY49" i="22723"/>
  <c r="BA47" i="22723"/>
  <c r="AZ47" i="22723"/>
  <c r="AY47" i="22723"/>
  <c r="BA46" i="22723"/>
  <c r="BA45" i="22723"/>
  <c r="AZ45" i="22723"/>
  <c r="AY45" i="22723"/>
  <c r="AZ43" i="22723"/>
  <c r="AY43" i="22723"/>
  <c r="BA42" i="22723"/>
  <c r="AZ42" i="22723"/>
  <c r="AY42" i="22723"/>
  <c r="BA41" i="22723"/>
  <c r="AZ41" i="22723"/>
  <c r="AY41" i="22723"/>
  <c r="AZ40" i="22723"/>
  <c r="AY40" i="22723"/>
  <c r="BA39" i="22723"/>
  <c r="AY39" i="22723"/>
  <c r="BA38" i="22723"/>
  <c r="AZ38" i="22723"/>
  <c r="AY38" i="22723"/>
  <c r="AT70" i="22723"/>
  <c r="AS70" i="22723"/>
  <c r="AV69" i="22723"/>
  <c r="AT66" i="22723"/>
  <c r="AT65" i="22723"/>
  <c r="AT64" i="22723"/>
  <c r="AT62" i="22723"/>
  <c r="AT61" i="22723"/>
  <c r="AT59" i="22723"/>
  <c r="AR59" i="22723"/>
  <c r="AR54" i="22723"/>
  <c r="AR53" i="22723"/>
  <c r="AR52" i="22723"/>
  <c r="AR49" i="22723"/>
  <c r="AT47" i="22723"/>
  <c r="AS47" i="22723"/>
  <c r="AR47" i="22723"/>
  <c r="AT46" i="22723"/>
  <c r="AT45" i="22723"/>
  <c r="AS45" i="22723"/>
  <c r="AR45" i="22723"/>
  <c r="AS43" i="22723"/>
  <c r="AR43" i="22723"/>
  <c r="AT42" i="22723"/>
  <c r="AS42" i="22723"/>
  <c r="AR42" i="22723"/>
  <c r="AT41" i="22723"/>
  <c r="AS41" i="22723"/>
  <c r="AR41" i="22723"/>
  <c r="AS40" i="22723"/>
  <c r="AR40" i="22723"/>
  <c r="AT39" i="22723"/>
  <c r="AR39" i="22723"/>
  <c r="AT38" i="22723"/>
  <c r="AS38" i="22723"/>
  <c r="AR38" i="22723"/>
  <c r="AM70" i="22723"/>
  <c r="AL70" i="22723"/>
  <c r="AO69" i="22723"/>
  <c r="AM66" i="22723"/>
  <c r="AM65" i="22723"/>
  <c r="AM64" i="22723"/>
  <c r="AM62" i="22723"/>
  <c r="AM61" i="22723"/>
  <c r="AM59" i="22723"/>
  <c r="AK59" i="22723"/>
  <c r="AK54" i="22723"/>
  <c r="AK53" i="22723"/>
  <c r="AK52" i="22723"/>
  <c r="AK49" i="22723"/>
  <c r="AM47" i="22723"/>
  <c r="AL47" i="22723"/>
  <c r="AK47" i="22723"/>
  <c r="AM46" i="22723"/>
  <c r="AM45" i="22723"/>
  <c r="AL45" i="22723"/>
  <c r="AK45" i="22723"/>
  <c r="AL43" i="22723"/>
  <c r="AK43" i="22723"/>
  <c r="AM42" i="22723"/>
  <c r="AL42" i="22723"/>
  <c r="AK42" i="22723"/>
  <c r="AM41" i="22723"/>
  <c r="AL41" i="22723"/>
  <c r="AK41" i="22723"/>
  <c r="AL40" i="22723"/>
  <c r="AK40" i="22723"/>
  <c r="AM39" i="22723"/>
  <c r="AK39" i="22723"/>
  <c r="AM38" i="22723"/>
  <c r="AL38" i="22723"/>
  <c r="AK38" i="22723"/>
  <c r="AE42" i="22723"/>
  <c r="AE41" i="22723"/>
  <c r="AE38" i="22723"/>
  <c r="AF70" i="22723"/>
  <c r="AE70" i="22723"/>
  <c r="AH69" i="22723"/>
  <c r="AF66" i="22723"/>
  <c r="AF65" i="22723"/>
  <c r="AF64" i="22723"/>
  <c r="AF62" i="22723"/>
  <c r="AF61" i="22723"/>
  <c r="AF59" i="22723"/>
  <c r="AD59" i="22723"/>
  <c r="AD54" i="22723"/>
  <c r="AD53" i="22723"/>
  <c r="AD52" i="22723"/>
  <c r="AD49" i="22723"/>
  <c r="AF47" i="22723"/>
  <c r="AE47" i="22723"/>
  <c r="AD47" i="22723"/>
  <c r="AF46" i="22723"/>
  <c r="AF45" i="22723"/>
  <c r="AE45" i="22723"/>
  <c r="AD45" i="22723"/>
  <c r="AE43" i="22723"/>
  <c r="AD43" i="22723"/>
  <c r="AF42" i="22723"/>
  <c r="AD42" i="22723"/>
  <c r="AF41" i="22723"/>
  <c r="AD41" i="22723"/>
  <c r="AE40" i="22723"/>
  <c r="AD40" i="22723"/>
  <c r="AF39" i="22723"/>
  <c r="AD39" i="22723"/>
  <c r="AF38" i="22723"/>
  <c r="AD38" i="22723"/>
  <c r="X42" i="22723"/>
  <c r="X41" i="22723"/>
  <c r="X38" i="22723"/>
  <c r="Y64" i="22723"/>
  <c r="R64" i="22723"/>
  <c r="Y62" i="22723"/>
  <c r="Y70" i="22723"/>
  <c r="X70" i="22723"/>
  <c r="AA69" i="22723"/>
  <c r="Y66" i="22723"/>
  <c r="Y65" i="22723"/>
  <c r="Y61" i="22723"/>
  <c r="Y59" i="22723"/>
  <c r="W59" i="22723"/>
  <c r="W54" i="22723"/>
  <c r="W53" i="22723"/>
  <c r="W52" i="22723"/>
  <c r="W49" i="22723"/>
  <c r="Y47" i="22723"/>
  <c r="X47" i="22723"/>
  <c r="W47" i="22723"/>
  <c r="Y46" i="22723"/>
  <c r="Y45" i="22723"/>
  <c r="X45" i="22723"/>
  <c r="W45" i="22723"/>
  <c r="X43" i="22723"/>
  <c r="W43" i="22723"/>
  <c r="Y42" i="22723"/>
  <c r="W42" i="22723"/>
  <c r="Y41" i="22723"/>
  <c r="W41" i="22723"/>
  <c r="W40" i="22723"/>
  <c r="Y39" i="22723"/>
  <c r="W39" i="22723"/>
  <c r="Y38" i="22723"/>
  <c r="W38" i="22723"/>
  <c r="R66" i="22723"/>
  <c r="K66" i="22723"/>
  <c r="D66" i="22723"/>
  <c r="R61" i="22723"/>
  <c r="R59" i="22723"/>
  <c r="Q42" i="22723"/>
  <c r="Q41" i="22723"/>
  <c r="Q38" i="22723"/>
  <c r="P50" i="22723"/>
  <c r="P51" i="22723"/>
  <c r="R70" i="22723"/>
  <c r="Q70" i="22723"/>
  <c r="T69" i="22723"/>
  <c r="R65" i="22723"/>
  <c r="P59" i="22723"/>
  <c r="R46" i="22723"/>
  <c r="P54" i="22723"/>
  <c r="P53" i="22723"/>
  <c r="P52" i="22723"/>
  <c r="P49" i="22723"/>
  <c r="R47" i="22723"/>
  <c r="Q47" i="22723"/>
  <c r="P47" i="22723"/>
  <c r="R45" i="22723"/>
  <c r="Q45" i="22723"/>
  <c r="P45" i="22723"/>
  <c r="Q43" i="22723"/>
  <c r="P43" i="22723"/>
  <c r="R42" i="22723"/>
  <c r="P42" i="22723"/>
  <c r="R41" i="22723"/>
  <c r="P41" i="22723"/>
  <c r="P40" i="22723"/>
  <c r="R39" i="22723"/>
  <c r="P39" i="22723"/>
  <c r="R38" i="22723"/>
  <c r="P38" i="22723"/>
  <c r="K61" i="22723"/>
  <c r="K59" i="22723"/>
  <c r="K70" i="22723"/>
  <c r="J70" i="22723"/>
  <c r="M69" i="22723"/>
  <c r="K65" i="22723"/>
  <c r="I59" i="22723"/>
  <c r="I54" i="22723"/>
  <c r="I53" i="22723"/>
  <c r="I52" i="22723"/>
  <c r="I49" i="22723"/>
  <c r="K47" i="22723"/>
  <c r="J47" i="22723"/>
  <c r="I47" i="22723"/>
  <c r="K45" i="22723"/>
  <c r="J45" i="22723"/>
  <c r="I45" i="22723"/>
  <c r="J43" i="22723"/>
  <c r="I43" i="22723"/>
  <c r="K42" i="22723"/>
  <c r="I42" i="22723"/>
  <c r="K41" i="22723"/>
  <c r="I41" i="22723"/>
  <c r="I40" i="22723"/>
  <c r="K39" i="22723"/>
  <c r="I39" i="22723"/>
  <c r="D61" i="22723"/>
  <c r="D65" i="22723"/>
  <c r="B41" i="22723"/>
  <c r="B42" i="22723"/>
  <c r="B53" i="22723"/>
  <c r="B117" i="22714"/>
  <c r="B52" i="22723"/>
  <c r="D42" i="22723"/>
  <c r="D41" i="22723"/>
  <c r="BL21" i="22723"/>
  <c r="BL20" i="22723"/>
  <c r="BL19" i="22723"/>
  <c r="DB21" i="22723"/>
  <c r="DB20" i="22723"/>
  <c r="DB19" i="22723"/>
  <c r="CU21" i="22723"/>
  <c r="CU20" i="22723"/>
  <c r="CU19" i="22723"/>
  <c r="CN21" i="22723"/>
  <c r="CN20" i="22723"/>
  <c r="CN19" i="22723"/>
  <c r="CG21" i="22723"/>
  <c r="CG20" i="22723"/>
  <c r="CG19" i="22723"/>
  <c r="BZ21" i="22723"/>
  <c r="BZ20" i="22723"/>
  <c r="BZ19" i="22723"/>
  <c r="BS21" i="22723"/>
  <c r="BS20" i="22723"/>
  <c r="BS19" i="22723"/>
  <c r="BE21" i="22723"/>
  <c r="BE20" i="22723"/>
  <c r="BE19" i="22723"/>
  <c r="AX21" i="22723"/>
  <c r="AX20" i="22723"/>
  <c r="AX19" i="22723"/>
  <c r="AQ21" i="22723"/>
  <c r="AQ20" i="22723"/>
  <c r="AQ19" i="22723"/>
  <c r="AJ21" i="22723"/>
  <c r="AJ20" i="22723"/>
  <c r="AJ19" i="22723"/>
  <c r="AC21" i="22723"/>
  <c r="AC20" i="22723"/>
  <c r="AC19" i="22723"/>
  <c r="A21" i="22723"/>
  <c r="A20" i="22723"/>
  <c r="A19" i="22723"/>
  <c r="H21" i="22723"/>
  <c r="H20" i="22723"/>
  <c r="H19" i="22723"/>
  <c r="O21" i="22723"/>
  <c r="O20" i="22723"/>
  <c r="O19" i="22723"/>
  <c r="V21" i="22723"/>
  <c r="V20" i="22723"/>
  <c r="V19" i="22723"/>
  <c r="AF15" i="22723"/>
  <c r="AF14" i="22723"/>
  <c r="AE14" i="22723"/>
  <c r="AE17" i="22723" s="1"/>
  <c r="Y16" i="22723"/>
  <c r="Y14" i="22723"/>
  <c r="X16" i="22723"/>
  <c r="X14" i="22723"/>
  <c r="X39" i="22723" s="1"/>
  <c r="R15" i="22723"/>
  <c r="R14" i="22723"/>
  <c r="Q15" i="22723"/>
  <c r="Q14" i="22723"/>
  <c r="Q39" i="22723" s="1"/>
  <c r="K16" i="22723"/>
  <c r="K14" i="22723"/>
  <c r="J16" i="22723"/>
  <c r="J14" i="22723"/>
  <c r="J39" i="22723" s="1"/>
  <c r="AD16" i="22723"/>
  <c r="AD15" i="22723"/>
  <c r="AD14" i="22723"/>
  <c r="W16" i="22723"/>
  <c r="W15" i="22723"/>
  <c r="W14" i="22723"/>
  <c r="P16" i="22723"/>
  <c r="P15" i="22723"/>
  <c r="P14" i="22723"/>
  <c r="I16" i="22723"/>
  <c r="I15" i="22723"/>
  <c r="I14" i="22723"/>
  <c r="B16" i="22723"/>
  <c r="B15" i="22723"/>
  <c r="B14" i="22723"/>
  <c r="D16" i="22723"/>
  <c r="D14" i="22723"/>
  <c r="C16" i="22723"/>
  <c r="C14" i="22723"/>
  <c r="C39" i="22723" s="1"/>
  <c r="DG11" i="22723"/>
  <c r="CZ11" i="22723"/>
  <c r="CS11" i="22723"/>
  <c r="CL11" i="22723"/>
  <c r="CE11" i="22723"/>
  <c r="BX11" i="22723"/>
  <c r="BQ11" i="22723"/>
  <c r="BJ11" i="22723"/>
  <c r="BC11" i="22723"/>
  <c r="AV11" i="22723"/>
  <c r="AO11" i="22723"/>
  <c r="AH11" i="22723"/>
  <c r="AA11" i="22723"/>
  <c r="B5" i="22723"/>
  <c r="B2" i="22714"/>
  <c r="B2" i="4"/>
  <c r="B11" i="4"/>
  <c r="H182" i="4" s="1"/>
  <c r="C182" i="4" s="1"/>
  <c r="B174" i="22714"/>
  <c r="B173" i="22714"/>
  <c r="B160" i="22714"/>
  <c r="B159" i="22714"/>
  <c r="B133" i="22714"/>
  <c r="D168" i="4"/>
  <c r="B116" i="22714"/>
  <c r="B115" i="22714"/>
  <c r="B114" i="22714"/>
  <c r="A177" i="22714"/>
  <c r="A176" i="22714"/>
  <c r="E170" i="22714"/>
  <c r="F169" i="22714"/>
  <c r="F156" i="22714"/>
  <c r="D149" i="22714"/>
  <c r="D133" i="22714"/>
  <c r="D131" i="22714"/>
  <c r="D114" i="22714"/>
  <c r="D115" i="22714" s="1"/>
  <c r="R50" i="22723" s="1"/>
  <c r="F110" i="22714"/>
  <c r="F109" i="22714"/>
  <c r="BQ27" i="22723" s="1"/>
  <c r="F108" i="22714"/>
  <c r="E107" i="22714"/>
  <c r="F106" i="22714"/>
  <c r="F100" i="22714"/>
  <c r="D94" i="22714"/>
  <c r="D95" i="22714" s="1"/>
  <c r="F83" i="22714"/>
  <c r="F82" i="22714"/>
  <c r="E70" i="22714"/>
  <c r="C68" i="22714"/>
  <c r="C69" i="22714" s="1"/>
  <c r="E63" i="22714"/>
  <c r="E62" i="22714"/>
  <c r="B37" i="22714"/>
  <c r="D27" i="1"/>
  <c r="C9" i="22714"/>
  <c r="B9" i="22714"/>
  <c r="A28" i="22714"/>
  <c r="A27" i="22714"/>
  <c r="A26" i="22714"/>
  <c r="F16" i="22714"/>
  <c r="C22" i="22714" s="1"/>
  <c r="I32" i="22723" l="1"/>
  <c r="B32" i="22723"/>
  <c r="AM58" i="22723"/>
  <c r="AF60" i="22723"/>
  <c r="BO60" i="22723"/>
  <c r="R58" i="22723"/>
  <c r="Y60" i="22723"/>
  <c r="BA60" i="22723"/>
  <c r="AT58" i="22723"/>
  <c r="BO58" i="22723"/>
  <c r="CJ58" i="22723"/>
  <c r="Y58" i="22723"/>
  <c r="BA58" i="22723"/>
  <c r="BH58" i="22723"/>
  <c r="BV58" i="22723"/>
  <c r="CC58" i="22723"/>
  <c r="CQ58" i="22723"/>
  <c r="CX58" i="22723"/>
  <c r="DE58" i="22723"/>
  <c r="T27" i="22723"/>
  <c r="T24" i="22723"/>
  <c r="AE39" i="22723"/>
  <c r="AF58" i="22723"/>
  <c r="D58" i="22725"/>
  <c r="K43" i="22725"/>
  <c r="AM60" i="22723"/>
  <c r="AT60" i="22723"/>
  <c r="BH60" i="22723"/>
  <c r="BV60" i="22723"/>
  <c r="CC60" i="22723"/>
  <c r="CQ60" i="22723"/>
  <c r="CX60" i="22723"/>
  <c r="DE60" i="22723"/>
  <c r="CJ60" i="22723"/>
  <c r="C42" i="22725"/>
  <c r="K49" i="22725"/>
  <c r="K40" i="22725"/>
  <c r="D60" i="22725"/>
  <c r="K41" i="22725"/>
  <c r="K47" i="22725"/>
  <c r="K48" i="22725"/>
  <c r="D57" i="22725"/>
  <c r="C16" i="22725"/>
  <c r="R60" i="22723"/>
  <c r="K60" i="22723"/>
  <c r="K58" i="22723"/>
  <c r="F84" i="22714"/>
  <c r="F101" i="22714"/>
  <c r="F102" i="22714" s="1"/>
  <c r="E64" i="22714"/>
  <c r="C21" i="22714"/>
  <c r="K42" i="22725" l="1"/>
  <c r="E66" i="22714"/>
  <c r="C195" i="4" l="1"/>
  <c r="B195" i="4"/>
  <c r="D164" i="4"/>
  <c r="D163" i="4"/>
  <c r="D162" i="4"/>
  <c r="C162" i="4"/>
  <c r="D161" i="4"/>
  <c r="D42" i="22725" l="1"/>
  <c r="BO40" i="22723"/>
  <c r="DE40" i="22723"/>
  <c r="CX40" i="22723"/>
  <c r="CQ40" i="22723"/>
  <c r="CC40" i="22723"/>
  <c r="BV40" i="22723"/>
  <c r="BH40" i="22723"/>
  <c r="AF40" i="22723"/>
  <c r="AF57" i="22723" s="1"/>
  <c r="CJ40" i="22723"/>
  <c r="BA40" i="22723"/>
  <c r="AT40" i="22723"/>
  <c r="AM40" i="22723"/>
  <c r="R40" i="22723"/>
  <c r="K40" i="22723"/>
  <c r="Y40" i="22723"/>
  <c r="BN53" i="22723"/>
  <c r="DD52" i="22723"/>
  <c r="CW53" i="22723"/>
  <c r="CP52" i="22723"/>
  <c r="CB53" i="22723"/>
  <c r="BU52" i="22723"/>
  <c r="BG53" i="22723"/>
  <c r="AE52" i="22723"/>
  <c r="C139" i="22714"/>
  <c r="B176" i="22714"/>
  <c r="D176" i="22714" s="1"/>
  <c r="BO51" i="22723" s="1"/>
  <c r="B122" i="22714"/>
  <c r="D122" i="22714" s="1"/>
  <c r="C52" i="22725"/>
  <c r="CI52" i="22723"/>
  <c r="AZ53" i="22723"/>
  <c r="AS52" i="22723"/>
  <c r="AL53" i="22723"/>
  <c r="X52" i="22723"/>
  <c r="Q52" i="22723"/>
  <c r="J53" i="22723"/>
  <c r="C53" i="22723"/>
  <c r="D170" i="22714"/>
  <c r="F170" i="22714" s="1"/>
  <c r="C53" i="22725"/>
  <c r="BN52" i="22723"/>
  <c r="DD53" i="22723"/>
  <c r="CW52" i="22723"/>
  <c r="CP53" i="22723"/>
  <c r="CB52" i="22723"/>
  <c r="BU53" i="22723"/>
  <c r="BG52" i="22723"/>
  <c r="AE53" i="22723"/>
  <c r="C52" i="22723"/>
  <c r="B182" i="22714"/>
  <c r="D182" i="22714" s="1"/>
  <c r="CI53" i="22723"/>
  <c r="AZ52" i="22723"/>
  <c r="AS53" i="22723"/>
  <c r="AL52" i="22723"/>
  <c r="X53" i="22723"/>
  <c r="Q53" i="22723"/>
  <c r="J52" i="22723"/>
  <c r="D107" i="22714"/>
  <c r="F107" i="22714" s="1"/>
  <c r="B177" i="22714"/>
  <c r="D177" i="22714" s="1"/>
  <c r="C144" i="4"/>
  <c r="F143" i="4"/>
  <c r="G143" i="4" s="1"/>
  <c r="F142" i="4"/>
  <c r="F141" i="4"/>
  <c r="F140" i="4"/>
  <c r="G140" i="4" s="1"/>
  <c r="C134" i="4"/>
  <c r="F133" i="4"/>
  <c r="G133" i="4" s="1"/>
  <c r="F132" i="4"/>
  <c r="F131" i="4"/>
  <c r="F130" i="4"/>
  <c r="F129" i="4"/>
  <c r="F128" i="4"/>
  <c r="F126" i="4"/>
  <c r="X15" i="22723"/>
  <c r="C104" i="4"/>
  <c r="Y15" i="22723" s="1"/>
  <c r="Q16" i="22723"/>
  <c r="D102" i="4"/>
  <c r="R16" i="22723" s="1"/>
  <c r="J15" i="22723"/>
  <c r="K15" i="22723"/>
  <c r="D22" i="1"/>
  <c r="A26" i="1"/>
  <c r="A27" i="1"/>
  <c r="H210" i="22715"/>
  <c r="H209" i="22715"/>
  <c r="J40" i="22723" l="1"/>
  <c r="K57" i="22723" s="1"/>
  <c r="J17" i="22723"/>
  <c r="X40" i="22723"/>
  <c r="Y57" i="22723" s="1"/>
  <c r="X17" i="22723"/>
  <c r="C27" i="22714"/>
  <c r="D15" i="22723"/>
  <c r="B27" i="22714"/>
  <c r="A38" i="22714" s="1"/>
  <c r="C38" i="22714" s="1"/>
  <c r="C49" i="22714" s="1"/>
  <c r="C15" i="22723"/>
  <c r="Q17" i="22723"/>
  <c r="Q40" i="22723"/>
  <c r="R57" i="22723" s="1"/>
  <c r="F111" i="22714"/>
  <c r="T26" i="22723"/>
  <c r="BQ26" i="22723"/>
  <c r="R62" i="22723"/>
  <c r="D116" i="22714"/>
  <c r="D117" i="22714" s="1"/>
  <c r="R51" i="22723" s="1"/>
  <c r="E139" i="22714"/>
  <c r="G132" i="4"/>
  <c r="G128" i="4"/>
  <c r="G142" i="4"/>
  <c r="C40" i="22723" l="1"/>
  <c r="C17" i="22723"/>
  <c r="BO63" i="22723"/>
  <c r="DE63" i="22723"/>
  <c r="BV63" i="22723"/>
  <c r="R63" i="22723"/>
  <c r="CJ63" i="22723"/>
  <c r="AF63" i="22723"/>
  <c r="CX63" i="22723"/>
  <c r="BH63" i="22723"/>
  <c r="D64" i="22725"/>
  <c r="AT63" i="22723"/>
  <c r="BA63" i="22723"/>
  <c r="CC63" i="22723"/>
  <c r="AM63" i="22723"/>
  <c r="Y63" i="22723"/>
  <c r="CQ63" i="22723"/>
  <c r="DE61" i="2" l="1"/>
  <c r="DE42" i="2"/>
  <c r="DD42" i="2"/>
  <c r="DC42" i="2"/>
  <c r="DE41" i="2"/>
  <c r="DD41" i="2"/>
  <c r="DC41" i="2"/>
  <c r="DD40" i="2"/>
  <c r="DC40" i="2"/>
  <c r="DE39" i="2"/>
  <c r="DC39" i="2"/>
  <c r="DE38" i="2"/>
  <c r="DD38" i="2"/>
  <c r="DC38" i="2"/>
  <c r="CX61" i="2"/>
  <c r="CX42" i="2"/>
  <c r="CW42" i="2"/>
  <c r="CV42" i="2"/>
  <c r="CX41" i="2"/>
  <c r="CW41" i="2"/>
  <c r="CV41" i="2"/>
  <c r="CV40" i="2"/>
  <c r="CX39" i="2"/>
  <c r="CV39" i="2"/>
  <c r="CX38" i="2"/>
  <c r="CW38" i="2"/>
  <c r="CV38" i="2"/>
  <c r="CQ61" i="2"/>
  <c r="CQ42" i="2"/>
  <c r="CP42" i="2"/>
  <c r="CO42" i="2"/>
  <c r="CQ41" i="2"/>
  <c r="CP41" i="2"/>
  <c r="CO41" i="2"/>
  <c r="CP40" i="2"/>
  <c r="CO40" i="2"/>
  <c r="CQ39" i="2"/>
  <c r="CO39" i="2"/>
  <c r="CQ38" i="2"/>
  <c r="CP38" i="2"/>
  <c r="CO38" i="2"/>
  <c r="CJ61" i="2"/>
  <c r="CJ42" i="2"/>
  <c r="CI42" i="2"/>
  <c r="CH42" i="2"/>
  <c r="CJ41" i="2"/>
  <c r="CI41" i="2"/>
  <c r="CH41" i="2"/>
  <c r="CI40" i="2"/>
  <c r="CH40" i="2"/>
  <c r="CJ39" i="2"/>
  <c r="CH39" i="2"/>
  <c r="CJ38" i="2"/>
  <c r="CI38" i="2"/>
  <c r="CH38" i="2"/>
  <c r="CC61" i="2"/>
  <c r="CC42" i="2"/>
  <c r="CB42" i="2"/>
  <c r="CA42" i="2"/>
  <c r="CC41" i="2"/>
  <c r="CB41" i="2"/>
  <c r="CA41" i="2"/>
  <c r="CA40" i="2"/>
  <c r="CC39" i="2"/>
  <c r="CA39" i="2"/>
  <c r="CC38" i="2"/>
  <c r="CB38" i="2"/>
  <c r="CA38" i="2"/>
  <c r="BV61" i="2"/>
  <c r="BV42" i="2"/>
  <c r="BU42" i="2"/>
  <c r="BT42" i="2"/>
  <c r="BV41" i="2"/>
  <c r="BU41" i="2"/>
  <c r="BT41" i="2"/>
  <c r="BU40" i="2"/>
  <c r="BT40" i="2"/>
  <c r="BV39" i="2"/>
  <c r="BT39" i="2"/>
  <c r="BV38" i="2"/>
  <c r="BU38" i="2"/>
  <c r="BT38" i="2"/>
  <c r="BO61" i="2"/>
  <c r="BO42" i="2"/>
  <c r="BN42" i="2"/>
  <c r="BM42" i="2"/>
  <c r="BO41" i="2"/>
  <c r="BN41" i="2"/>
  <c r="BM41" i="2"/>
  <c r="BN40" i="2"/>
  <c r="BM40" i="2"/>
  <c r="BO39" i="2"/>
  <c r="BM39" i="2"/>
  <c r="BO38" i="2"/>
  <c r="BN38" i="2"/>
  <c r="BM38" i="2"/>
  <c r="BH61" i="2"/>
  <c r="BH42" i="2"/>
  <c r="BG42" i="2"/>
  <c r="BF42" i="2"/>
  <c r="BH41" i="2"/>
  <c r="BG41" i="2"/>
  <c r="BF41" i="2"/>
  <c r="BF40" i="2"/>
  <c r="BH39" i="2"/>
  <c r="BF39" i="2"/>
  <c r="BH38" i="2"/>
  <c r="BG38" i="2"/>
  <c r="BF38" i="2"/>
  <c r="BA61" i="2"/>
  <c r="BA42" i="2"/>
  <c r="AZ42" i="2"/>
  <c r="AY42" i="2"/>
  <c r="BA41" i="2"/>
  <c r="AZ41" i="2"/>
  <c r="AY41" i="2"/>
  <c r="AZ40" i="2"/>
  <c r="AY40" i="2"/>
  <c r="BA39" i="2"/>
  <c r="AY39" i="2"/>
  <c r="BA38" i="2"/>
  <c r="AZ38" i="2"/>
  <c r="AY38" i="2"/>
  <c r="AT61" i="2"/>
  <c r="AT42" i="2"/>
  <c r="AS42" i="2"/>
  <c r="AR42" i="2"/>
  <c r="AT41" i="2"/>
  <c r="AS41" i="2"/>
  <c r="AR41" i="2"/>
  <c r="AS40" i="2"/>
  <c r="AR40" i="2"/>
  <c r="AT39" i="2"/>
  <c r="AR39" i="2"/>
  <c r="AT38" i="2"/>
  <c r="AS38" i="2"/>
  <c r="AR38" i="2"/>
  <c r="AM61" i="2"/>
  <c r="AL38" i="2"/>
  <c r="AM42" i="2"/>
  <c r="AL42" i="2"/>
  <c r="AK42" i="2"/>
  <c r="AM41" i="2"/>
  <c r="AL41" i="2"/>
  <c r="AK41" i="2"/>
  <c r="AK40" i="2"/>
  <c r="AM39" i="2"/>
  <c r="AK39" i="2"/>
  <c r="AF15" i="2"/>
  <c r="AM16" i="2"/>
  <c r="AT15" i="2"/>
  <c r="BA15" i="2"/>
  <c r="BH16" i="2"/>
  <c r="BO15" i="2"/>
  <c r="BV15" i="2"/>
  <c r="CC16" i="2"/>
  <c r="CJ15" i="2"/>
  <c r="CQ15" i="2"/>
  <c r="CX16" i="2"/>
  <c r="DF16" i="2"/>
  <c r="DG16" i="2" s="1"/>
  <c r="DC16" i="2"/>
  <c r="DF15" i="2"/>
  <c r="DE15" i="2"/>
  <c r="DC15" i="2"/>
  <c r="DE14" i="2"/>
  <c r="DD14" i="2"/>
  <c r="DD17" i="2" s="1"/>
  <c r="DC14" i="2"/>
  <c r="CY16" i="2"/>
  <c r="CV16" i="2"/>
  <c r="CY15" i="2"/>
  <c r="CZ15" i="2" s="1"/>
  <c r="CW15" i="2"/>
  <c r="CW40" i="2" s="1"/>
  <c r="CV15" i="2"/>
  <c r="CX14" i="2"/>
  <c r="CW14" i="2"/>
  <c r="CV14" i="2"/>
  <c r="CR16" i="2"/>
  <c r="CS16" i="2" s="1"/>
  <c r="CO16" i="2"/>
  <c r="CR15" i="2"/>
  <c r="CO15" i="2"/>
  <c r="CQ14" i="2"/>
  <c r="CP14" i="2"/>
  <c r="CP17" i="2" s="1"/>
  <c r="CO14" i="2"/>
  <c r="CK16" i="2"/>
  <c r="CL16" i="2" s="1"/>
  <c r="CH16" i="2"/>
  <c r="CK15" i="2"/>
  <c r="CH15" i="2"/>
  <c r="CJ14" i="2"/>
  <c r="CI14" i="2"/>
  <c r="CI17" i="2" s="1"/>
  <c r="CH14" i="2"/>
  <c r="CD16" i="2"/>
  <c r="CA16" i="2"/>
  <c r="CD15" i="2"/>
  <c r="CE15" i="2" s="1"/>
  <c r="CB15" i="2"/>
  <c r="CB40" i="2" s="1"/>
  <c r="CA15" i="2"/>
  <c r="CC14" i="2"/>
  <c r="CB14" i="2"/>
  <c r="CA14" i="2"/>
  <c r="BW16" i="2"/>
  <c r="BX16" i="2" s="1"/>
  <c r="BT16" i="2"/>
  <c r="BW15" i="2"/>
  <c r="BT15" i="2"/>
  <c r="BV14" i="2"/>
  <c r="BU14" i="2"/>
  <c r="BU17" i="2" s="1"/>
  <c r="BT14" i="2"/>
  <c r="BP16" i="2"/>
  <c r="BQ16" i="2" s="1"/>
  <c r="BM16" i="2"/>
  <c r="BP15" i="2"/>
  <c r="BM15" i="2"/>
  <c r="BO14" i="2"/>
  <c r="BN14" i="2"/>
  <c r="BN17" i="2" s="1"/>
  <c r="BM14" i="2"/>
  <c r="BI16" i="2"/>
  <c r="BJ16" i="2" s="1"/>
  <c r="BF16" i="2"/>
  <c r="BI15" i="2"/>
  <c r="BJ15" i="2" s="1"/>
  <c r="BG15" i="2"/>
  <c r="BG40" i="2" s="1"/>
  <c r="BF15" i="2"/>
  <c r="BH14" i="2"/>
  <c r="BG14" i="2"/>
  <c r="BG39" i="2" s="1"/>
  <c r="BF14" i="2"/>
  <c r="BB16" i="2"/>
  <c r="BC16" i="2" s="1"/>
  <c r="AY16" i="2"/>
  <c r="BB15" i="2"/>
  <c r="AY15" i="2"/>
  <c r="BA14" i="2"/>
  <c r="AZ14" i="2"/>
  <c r="AZ17" i="2" s="1"/>
  <c r="AY14" i="2"/>
  <c r="AU16" i="2"/>
  <c r="AR16" i="2"/>
  <c r="AU15" i="2"/>
  <c r="AR15" i="2"/>
  <c r="AT14" i="2"/>
  <c r="AS14" i="2"/>
  <c r="AS17" i="2" s="1"/>
  <c r="AR14" i="2"/>
  <c r="AE42" i="2"/>
  <c r="AE41" i="2"/>
  <c r="AF42" i="2"/>
  <c r="AD42" i="2"/>
  <c r="AF41" i="2"/>
  <c r="AD41" i="2"/>
  <c r="AE40" i="2"/>
  <c r="AD40" i="2"/>
  <c r="AF39" i="2"/>
  <c r="AD39" i="2"/>
  <c r="Y42" i="2"/>
  <c r="X42" i="2"/>
  <c r="W42" i="2"/>
  <c r="Y41" i="2"/>
  <c r="X41" i="2"/>
  <c r="W41" i="2"/>
  <c r="W40" i="2"/>
  <c r="Y39" i="2"/>
  <c r="W39" i="2"/>
  <c r="AT58" i="2" l="1"/>
  <c r="CE16" i="2"/>
  <c r="BC15" i="2"/>
  <c r="DG15" i="2"/>
  <c r="CB17" i="2"/>
  <c r="AS39" i="2"/>
  <c r="BA58" i="2"/>
  <c r="BG17" i="2"/>
  <c r="CS15" i="2"/>
  <c r="CW17" i="2"/>
  <c r="CZ16" i="2"/>
  <c r="BN39" i="2"/>
  <c r="BU39" i="2"/>
  <c r="CB39" i="2"/>
  <c r="CI39" i="2"/>
  <c r="CP39" i="2"/>
  <c r="CW39" i="2"/>
  <c r="DD39" i="2"/>
  <c r="BX15" i="2"/>
  <c r="BH58" i="2"/>
  <c r="BO58" i="2"/>
  <c r="BV58" i="2"/>
  <c r="CC58" i="2"/>
  <c r="CJ58" i="2"/>
  <c r="CQ58" i="2"/>
  <c r="CX58" i="2"/>
  <c r="DE58" i="2"/>
  <c r="CL15" i="2"/>
  <c r="BQ15" i="2"/>
  <c r="AZ39" i="2"/>
  <c r="R42" i="2"/>
  <c r="Q42" i="2"/>
  <c r="P42" i="2"/>
  <c r="R41" i="2"/>
  <c r="Q41" i="2"/>
  <c r="P41" i="2"/>
  <c r="P40" i="2"/>
  <c r="R39" i="2"/>
  <c r="P39" i="2"/>
  <c r="AF61" i="2"/>
  <c r="Y61" i="2"/>
  <c r="R61" i="2"/>
  <c r="K61" i="2"/>
  <c r="D61" i="2"/>
  <c r="K42" i="2" l="1"/>
  <c r="I42" i="2"/>
  <c r="K41" i="2"/>
  <c r="I41" i="2"/>
  <c r="I40" i="2"/>
  <c r="K39" i="2"/>
  <c r="I39" i="2"/>
  <c r="I43" i="2"/>
  <c r="J43" i="2"/>
  <c r="J48" i="3"/>
  <c r="J47" i="3"/>
  <c r="J45" i="3"/>
  <c r="J44" i="3"/>
  <c r="J43" i="3"/>
  <c r="J42" i="3"/>
  <c r="J41" i="3"/>
  <c r="D42" i="2"/>
  <c r="D41" i="2"/>
  <c r="B42" i="2"/>
  <c r="B41" i="2"/>
  <c r="B40" i="2"/>
  <c r="D39" i="2"/>
  <c r="AN16" i="2"/>
  <c r="AO16" i="2" s="1"/>
  <c r="AK16" i="2"/>
  <c r="AN15" i="2"/>
  <c r="AO15" i="2" s="1"/>
  <c r="AK15" i="2"/>
  <c r="AM14" i="2"/>
  <c r="AL14" i="2"/>
  <c r="AK14" i="2"/>
  <c r="AD15" i="2"/>
  <c r="AD14" i="2"/>
  <c r="AE14" i="2"/>
  <c r="AF14" i="2"/>
  <c r="AG15" i="2"/>
  <c r="C15" i="3"/>
  <c r="C14" i="3"/>
  <c r="D15" i="3"/>
  <c r="D14" i="3"/>
  <c r="AG16" i="2"/>
  <c r="AH16" i="2" s="1"/>
  <c r="AD16" i="2"/>
  <c r="Z16" i="2"/>
  <c r="W16" i="2"/>
  <c r="Q16" i="2"/>
  <c r="K16" i="2"/>
  <c r="J16" i="2"/>
  <c r="D16" i="2"/>
  <c r="C16" i="2"/>
  <c r="E16" i="2"/>
  <c r="B16" i="2"/>
  <c r="L16" i="2"/>
  <c r="I16" i="2"/>
  <c r="S16" i="2"/>
  <c r="P16" i="2"/>
  <c r="Y16" i="2"/>
  <c r="Y14" i="2"/>
  <c r="X16" i="2"/>
  <c r="X14" i="2"/>
  <c r="D102" i="16"/>
  <c r="R16" i="2" s="1"/>
  <c r="C104" i="16"/>
  <c r="Y15" i="2" s="1"/>
  <c r="X15" i="2"/>
  <c r="X40" i="2" s="1"/>
  <c r="B27" i="1"/>
  <c r="A38" i="1" s="1"/>
  <c r="C27" i="1"/>
  <c r="E27" i="1" s="1"/>
  <c r="AE38" i="2"/>
  <c r="X38" i="2"/>
  <c r="Q38" i="2"/>
  <c r="D61" i="3"/>
  <c r="D44" i="3"/>
  <c r="D43" i="3"/>
  <c r="C162" i="16"/>
  <c r="C38" i="1" s="1"/>
  <c r="C49" i="1" s="1"/>
  <c r="E15" i="3"/>
  <c r="B15" i="3"/>
  <c r="C44" i="3"/>
  <c r="C43" i="3"/>
  <c r="C40" i="3"/>
  <c r="E42" i="2"/>
  <c r="D163" i="16"/>
  <c r="E41" i="2" s="1"/>
  <c r="D162" i="16"/>
  <c r="L40" i="2" s="1"/>
  <c r="D165" i="16"/>
  <c r="L43" i="2" s="1"/>
  <c r="D177" i="16"/>
  <c r="T16" i="2" l="1"/>
  <c r="F16" i="2"/>
  <c r="F41" i="2"/>
  <c r="D40" i="2"/>
  <c r="E40" i="2"/>
  <c r="AE17" i="2"/>
  <c r="AE39" i="2"/>
  <c r="AL17" i="2"/>
  <c r="AL39" i="2"/>
  <c r="E43" i="3"/>
  <c r="F43" i="3" s="1"/>
  <c r="B146" i="3" s="1"/>
  <c r="DF41" i="2"/>
  <c r="DG41" i="2" s="1"/>
  <c r="CY41" i="2"/>
  <c r="CZ41" i="2" s="1"/>
  <c r="CR41" i="2"/>
  <c r="CS41" i="2" s="1"/>
  <c r="CK41" i="2"/>
  <c r="CL41" i="2" s="1"/>
  <c r="CD41" i="2"/>
  <c r="CE41" i="2" s="1"/>
  <c r="BW41" i="2"/>
  <c r="BX41" i="2" s="1"/>
  <c r="BP41" i="2"/>
  <c r="BQ41" i="2" s="1"/>
  <c r="BI41" i="2"/>
  <c r="BJ41" i="2" s="1"/>
  <c r="Z41" i="2"/>
  <c r="AA41" i="2" s="1"/>
  <c r="AU41" i="2"/>
  <c r="AV41" i="2" s="1"/>
  <c r="AN41" i="2"/>
  <c r="AO41" i="2" s="1"/>
  <c r="AG41" i="2"/>
  <c r="AH41" i="2" s="1"/>
  <c r="BB41" i="2"/>
  <c r="BC41" i="2" s="1"/>
  <c r="S41" i="2"/>
  <c r="T41" i="2" s="1"/>
  <c r="E44" i="3"/>
  <c r="F44" i="3" s="1"/>
  <c r="B147" i="3" s="1"/>
  <c r="DF42" i="2"/>
  <c r="DG42" i="2" s="1"/>
  <c r="CY42" i="2"/>
  <c r="CZ42" i="2" s="1"/>
  <c r="CR42" i="2"/>
  <c r="CS42" i="2" s="1"/>
  <c r="CK42" i="2"/>
  <c r="CL42" i="2" s="1"/>
  <c r="CD42" i="2"/>
  <c r="CE42" i="2" s="1"/>
  <c r="BW42" i="2"/>
  <c r="BX42" i="2" s="1"/>
  <c r="BP42" i="2"/>
  <c r="BQ42" i="2" s="1"/>
  <c r="BI42" i="2"/>
  <c r="BJ42" i="2" s="1"/>
  <c r="AU42" i="2"/>
  <c r="AV42" i="2" s="1"/>
  <c r="AN42" i="2"/>
  <c r="AO42" i="2" s="1"/>
  <c r="BB42" i="2"/>
  <c r="BC42" i="2" s="1"/>
  <c r="AG42" i="2"/>
  <c r="AH42" i="2" s="1"/>
  <c r="Z42" i="2"/>
  <c r="AA42" i="2" s="1"/>
  <c r="S42" i="2"/>
  <c r="T42" i="2" s="1"/>
  <c r="E42" i="3"/>
  <c r="D38" i="1"/>
  <c r="E38" i="1" s="1"/>
  <c r="DF40" i="2"/>
  <c r="DG40" i="2" s="1"/>
  <c r="CY40" i="2"/>
  <c r="CZ40" i="2" s="1"/>
  <c r="CR40" i="2"/>
  <c r="CS40" i="2" s="1"/>
  <c r="CK40" i="2"/>
  <c r="CL40" i="2" s="1"/>
  <c r="CD40" i="2"/>
  <c r="CE40" i="2" s="1"/>
  <c r="BW40" i="2"/>
  <c r="BX40" i="2" s="1"/>
  <c r="BP40" i="2"/>
  <c r="BQ40" i="2" s="1"/>
  <c r="BI40" i="2"/>
  <c r="BJ40" i="2" s="1"/>
  <c r="AG40" i="2"/>
  <c r="AH40" i="2" s="1"/>
  <c r="AU40" i="2"/>
  <c r="AV40" i="2" s="1"/>
  <c r="AN40" i="2"/>
  <c r="AO40" i="2" s="1"/>
  <c r="Z40" i="2"/>
  <c r="AA40" i="2" s="1"/>
  <c r="BB40" i="2"/>
  <c r="BC40" i="2" s="1"/>
  <c r="S40" i="2"/>
  <c r="D42" i="3"/>
  <c r="DE40" i="2"/>
  <c r="CX40" i="2"/>
  <c r="CQ40" i="2"/>
  <c r="CJ40" i="2"/>
  <c r="CC40" i="2"/>
  <c r="BV40" i="2"/>
  <c r="BO40" i="2"/>
  <c r="BH40" i="2"/>
  <c r="AF40" i="2"/>
  <c r="Y40" i="2"/>
  <c r="AT40" i="2"/>
  <c r="AM40" i="2"/>
  <c r="BA40" i="2"/>
  <c r="R40" i="2"/>
  <c r="X17" i="2"/>
  <c r="X39" i="2"/>
  <c r="M16" i="2"/>
  <c r="F42" i="2"/>
  <c r="K40" i="2"/>
  <c r="L41" i="2"/>
  <c r="M41" i="2" s="1"/>
  <c r="L42" i="2"/>
  <c r="M42" i="2" s="1"/>
  <c r="K43" i="3"/>
  <c r="H205" i="22715"/>
  <c r="K44" i="3"/>
  <c r="H206" i="22715"/>
  <c r="F15" i="3"/>
  <c r="BH57" i="2" l="1"/>
  <c r="CJ57" i="2"/>
  <c r="AF57" i="2"/>
  <c r="AT57" i="2"/>
  <c r="BO57" i="2"/>
  <c r="CQ57" i="2"/>
  <c r="CX57" i="2"/>
  <c r="AM57" i="2"/>
  <c r="BV57" i="2"/>
  <c r="Y57" i="2"/>
  <c r="BA57" i="2"/>
  <c r="CC57" i="2"/>
  <c r="DE57" i="2"/>
  <c r="D26" i="1" l="1"/>
  <c r="E26" i="1" s="1"/>
  <c r="DF14" i="2"/>
  <c r="DG14" i="2" s="1"/>
  <c r="DG17" i="2" s="1"/>
  <c r="BB14" i="2"/>
  <c r="BC14" i="2" s="1"/>
  <c r="BC17" i="2" s="1"/>
  <c r="AU14" i="2"/>
  <c r="CY14" i="2"/>
  <c r="CZ14" i="2" s="1"/>
  <c r="CZ17" i="2" s="1"/>
  <c r="CR14" i="2"/>
  <c r="CS14" i="2" s="1"/>
  <c r="CS17" i="2" s="1"/>
  <c r="CK14" i="2"/>
  <c r="CL14" i="2" s="1"/>
  <c r="CL17" i="2" s="1"/>
  <c r="CD14" i="2"/>
  <c r="CE14" i="2" s="1"/>
  <c r="CE17" i="2" s="1"/>
  <c r="BW14" i="2"/>
  <c r="BX14" i="2" s="1"/>
  <c r="BX17" i="2" s="1"/>
  <c r="BP14" i="2"/>
  <c r="BQ14" i="2" s="1"/>
  <c r="BQ17" i="2" s="1"/>
  <c r="BI14" i="2"/>
  <c r="BJ14" i="2" s="1"/>
  <c r="BJ17" i="2" s="1"/>
  <c r="AN14" i="2"/>
  <c r="AO14" i="2" s="1"/>
  <c r="AO17" i="2" s="1"/>
  <c r="AG14" i="2"/>
  <c r="C144" i="16"/>
  <c r="F143" i="16"/>
  <c r="G143" i="16" s="1"/>
  <c r="F142" i="16"/>
  <c r="F141" i="16"/>
  <c r="F140" i="16"/>
  <c r="G140" i="16" s="1"/>
  <c r="F133" i="16"/>
  <c r="G133" i="16" s="1"/>
  <c r="T21" i="2" s="1"/>
  <c r="E132" i="16"/>
  <c r="F132" i="16" s="1"/>
  <c r="F131" i="16"/>
  <c r="F129" i="16"/>
  <c r="E128" i="16"/>
  <c r="F128" i="16" s="1"/>
  <c r="G128" i="16" s="1"/>
  <c r="C134" i="16"/>
  <c r="D57" i="16"/>
  <c r="D58" i="16"/>
  <c r="D60" i="16"/>
  <c r="AH21" i="2" l="1"/>
  <c r="F20" i="3"/>
  <c r="DG19" i="2"/>
  <c r="F18" i="3"/>
  <c r="G142" i="16"/>
  <c r="CZ20" i="2"/>
  <c r="CS20" i="2"/>
  <c r="CL20" i="2"/>
  <c r="CE20" i="2"/>
  <c r="BX20" i="2"/>
  <c r="BQ20" i="2"/>
  <c r="BJ20" i="2"/>
  <c r="BC20" i="2"/>
  <c r="AV20" i="2"/>
  <c r="AO20" i="2"/>
  <c r="AH20" i="2"/>
  <c r="AH19" i="2"/>
  <c r="AO21" i="2"/>
  <c r="AV21" i="2"/>
  <c r="BC21" i="2"/>
  <c r="BJ21" i="2"/>
  <c r="BQ21" i="2"/>
  <c r="BX21" i="2"/>
  <c r="CE21" i="2"/>
  <c r="CL21" i="2"/>
  <c r="CS21" i="2"/>
  <c r="AA21" i="2"/>
  <c r="AO19" i="2"/>
  <c r="AV19" i="2"/>
  <c r="BC19" i="2"/>
  <c r="BJ19" i="2"/>
  <c r="BQ19" i="2"/>
  <c r="BX19" i="2"/>
  <c r="CE19" i="2"/>
  <c r="CL19" i="2"/>
  <c r="CS19" i="2"/>
  <c r="CZ21" i="2"/>
  <c r="DG21" i="2"/>
  <c r="CZ19" i="2"/>
  <c r="G132" i="16"/>
  <c r="B9" i="1"/>
  <c r="C9" i="1"/>
  <c r="BO64" i="2"/>
  <c r="BO50" i="2"/>
  <c r="BM51" i="2"/>
  <c r="BM50" i="2"/>
  <c r="E117" i="1"/>
  <c r="D114" i="1"/>
  <c r="R50" i="2" s="1"/>
  <c r="B117" i="1"/>
  <c r="B116" i="1"/>
  <c r="P51" i="2"/>
  <c r="P50" i="2"/>
  <c r="E177" i="1"/>
  <c r="B177" i="1"/>
  <c r="D177" i="1" s="1"/>
  <c r="B176" i="1"/>
  <c r="D176" i="1" s="1"/>
  <c r="BO51" i="2" s="1"/>
  <c r="A177" i="1"/>
  <c r="A176" i="1"/>
  <c r="B182" i="1"/>
  <c r="D182" i="1" s="1"/>
  <c r="D170" i="1"/>
  <c r="E170" i="1"/>
  <c r="DG20" i="2" l="1"/>
  <c r="F19" i="3"/>
  <c r="CZ22" i="2"/>
  <c r="CS22" i="2"/>
  <c r="BQ22" i="2"/>
  <c r="AO22" i="2"/>
  <c r="AA20" i="2"/>
  <c r="T20" i="2"/>
  <c r="CL22" i="2"/>
  <c r="BJ22" i="2"/>
  <c r="AA19" i="2"/>
  <c r="T19" i="2"/>
  <c r="CE22" i="2"/>
  <c r="BC22" i="2"/>
  <c r="BX22" i="2"/>
  <c r="AV22" i="2"/>
  <c r="DG22" i="2"/>
  <c r="F177" i="1"/>
  <c r="F170" i="1"/>
  <c r="F169" i="1" l="1"/>
  <c r="E174" i="1"/>
  <c r="F174" i="1" s="1"/>
  <c r="B174" i="1"/>
  <c r="B173" i="1"/>
  <c r="B122" i="1"/>
  <c r="D122" i="1" s="1"/>
  <c r="D116" i="1" l="1"/>
  <c r="R62" i="2"/>
  <c r="R51" i="2" l="1"/>
  <c r="D117" i="1"/>
  <c r="F117" i="1" s="1"/>
  <c r="C53" i="3"/>
  <c r="C52" i="3"/>
  <c r="B53" i="3"/>
  <c r="B52" i="3"/>
  <c r="DD53" i="2"/>
  <c r="DC53" i="2"/>
  <c r="DD52" i="2"/>
  <c r="DC52" i="2"/>
  <c r="CW53" i="2"/>
  <c r="CV53" i="2"/>
  <c r="CW52" i="2"/>
  <c r="CV52" i="2"/>
  <c r="CP53" i="2"/>
  <c r="CO53" i="2"/>
  <c r="CP52" i="2"/>
  <c r="CO52" i="2"/>
  <c r="CI53" i="2"/>
  <c r="CH53" i="2"/>
  <c r="CI52" i="2"/>
  <c r="CH52" i="2"/>
  <c r="CB53" i="2"/>
  <c r="CA53" i="2"/>
  <c r="CB52" i="2"/>
  <c r="CA52" i="2"/>
  <c r="BU53" i="2"/>
  <c r="BT53" i="2"/>
  <c r="BU52" i="2"/>
  <c r="BT52" i="2"/>
  <c r="BN53" i="2"/>
  <c r="BM53" i="2"/>
  <c r="BN52" i="2"/>
  <c r="BM52" i="2"/>
  <c r="BG53" i="2"/>
  <c r="BF53" i="2"/>
  <c r="BG52" i="2"/>
  <c r="BF52" i="2"/>
  <c r="AZ53" i="2"/>
  <c r="AY53" i="2"/>
  <c r="AZ52" i="2"/>
  <c r="AY52" i="2"/>
  <c r="AS53" i="2"/>
  <c r="AR53" i="2"/>
  <c r="AS52" i="2"/>
  <c r="AR52" i="2"/>
  <c r="AL53" i="2"/>
  <c r="AK53" i="2"/>
  <c r="AL52" i="2"/>
  <c r="AK52" i="2"/>
  <c r="AE53" i="2"/>
  <c r="AD53" i="2"/>
  <c r="AE52" i="2"/>
  <c r="AD52" i="2"/>
  <c r="X53" i="2"/>
  <c r="W53" i="2"/>
  <c r="X52" i="2"/>
  <c r="W52" i="2"/>
  <c r="Q53" i="2"/>
  <c r="P53" i="2"/>
  <c r="Q52" i="2"/>
  <c r="P52" i="2"/>
  <c r="J53" i="2"/>
  <c r="M53" i="2" s="1"/>
  <c r="I53" i="2"/>
  <c r="J52" i="2"/>
  <c r="I52" i="2"/>
  <c r="B53" i="2"/>
  <c r="C53" i="2"/>
  <c r="C52" i="2"/>
  <c r="B52" i="2"/>
  <c r="C139" i="1"/>
  <c r="D107" i="1"/>
  <c r="E107" i="1"/>
  <c r="B30" i="22715"/>
  <c r="C30" i="22715" s="1"/>
  <c r="B195" i="16"/>
  <c r="E139" i="1" l="1"/>
  <c r="F107" i="1"/>
  <c r="BQ26" i="2" s="1"/>
  <c r="D64" i="3" l="1"/>
  <c r="BO63" i="2"/>
  <c r="T26" i="2"/>
  <c r="BH63" i="2"/>
  <c r="AT63" i="2"/>
  <c r="AF63" i="2"/>
  <c r="DE63" i="2"/>
  <c r="CQ63" i="2"/>
  <c r="CC63" i="2"/>
  <c r="CX63" i="2"/>
  <c r="CJ63" i="2"/>
  <c r="BV63" i="2"/>
  <c r="BA63" i="2"/>
  <c r="AM63" i="2"/>
  <c r="Y63" i="2"/>
  <c r="R63" i="2"/>
  <c r="F106" i="1" l="1"/>
  <c r="E160" i="1"/>
  <c r="F160" i="1" s="1"/>
  <c r="B160" i="1"/>
  <c r="B159" i="1"/>
  <c r="F156" i="1"/>
  <c r="BO62" i="2"/>
  <c r="F110" i="1"/>
  <c r="F109" i="1"/>
  <c r="BQ27" i="2" s="1"/>
  <c r="F108" i="1"/>
  <c r="E63" i="1"/>
  <c r="E62" i="1"/>
  <c r="F83" i="1"/>
  <c r="F82" i="1"/>
  <c r="T27" i="2" l="1"/>
  <c r="T24" i="2"/>
  <c r="F111" i="1"/>
  <c r="E64" i="1"/>
  <c r="C31" i="16" l="1"/>
  <c r="C30" i="16"/>
  <c r="F139" i="22714" s="1"/>
  <c r="G139" i="22714" s="1"/>
  <c r="G140" i="22714" s="1"/>
  <c r="C32" i="16"/>
  <c r="D115" i="1"/>
  <c r="CY63" i="2" l="1"/>
  <c r="CZ63" i="2" s="1"/>
  <c r="BW63" i="2"/>
  <c r="BX63" i="2" s="1"/>
  <c r="AU63" i="2"/>
  <c r="AV63" i="2" s="1"/>
  <c r="S63" i="2"/>
  <c r="T63" i="2" s="1"/>
  <c r="F139" i="1"/>
  <c r="G139" i="1" s="1"/>
  <c r="G140" i="1" s="1"/>
  <c r="F152" i="1" s="1"/>
  <c r="L63" i="2"/>
  <c r="M63" i="2" s="1"/>
  <c r="CR63" i="2"/>
  <c r="CS63" i="2" s="1"/>
  <c r="BP63" i="2"/>
  <c r="BQ63" i="2" s="1"/>
  <c r="AN63" i="2"/>
  <c r="AO63" i="2" s="1"/>
  <c r="E64" i="3"/>
  <c r="F64" i="3" s="1"/>
  <c r="CK63" i="2"/>
  <c r="CL63" i="2" s="1"/>
  <c r="BI63" i="2"/>
  <c r="BJ63" i="2" s="1"/>
  <c r="AG63" i="2"/>
  <c r="AH63" i="2" s="1"/>
  <c r="E63" i="2"/>
  <c r="F63" i="2" s="1"/>
  <c r="DF63" i="2"/>
  <c r="DG63" i="2" s="1"/>
  <c r="CD63" i="2"/>
  <c r="CE63" i="2" s="1"/>
  <c r="BB63" i="2"/>
  <c r="BC63" i="2" s="1"/>
  <c r="Z63" i="2"/>
  <c r="AA63" i="2" s="1"/>
  <c r="E182" i="1"/>
  <c r="F182" i="1" s="1"/>
  <c r="E181" i="1"/>
  <c r="F181" i="1" s="1"/>
  <c r="E122" i="1"/>
  <c r="F122" i="1" s="1"/>
  <c r="E164" i="1"/>
  <c r="F164" i="1" s="1"/>
  <c r="E121" i="1"/>
  <c r="E133" i="1"/>
  <c r="E66" i="1" l="1"/>
  <c r="E70" i="1" l="1"/>
  <c r="F15" i="1" l="1"/>
  <c r="E12" i="1"/>
  <c r="E29" i="22714" l="1"/>
  <c r="M11" i="22723"/>
  <c r="D149" i="1"/>
  <c r="D22" i="22714"/>
  <c r="F84" i="1" l="1"/>
  <c r="D155" i="4"/>
  <c r="DC16" i="22723" l="1"/>
  <c r="CX16" i="22723"/>
  <c r="CV16" i="22723"/>
  <c r="CO16" i="22723"/>
  <c r="CH16" i="22723"/>
  <c r="CC16" i="22723"/>
  <c r="CA16" i="22723"/>
  <c r="BT16" i="22723"/>
  <c r="BM16" i="22723"/>
  <c r="BH16" i="22723"/>
  <c r="BF16" i="22723"/>
  <c r="AY16" i="22723"/>
  <c r="AR16" i="22723"/>
  <c r="AM16" i="22723"/>
  <c r="AK16" i="22723"/>
  <c r="A20" i="3"/>
  <c r="A19" i="3"/>
  <c r="A18" i="3"/>
  <c r="DB21" i="2"/>
  <c r="DB20" i="2"/>
  <c r="DB19" i="2"/>
  <c r="CU21" i="2"/>
  <c r="CU20" i="2"/>
  <c r="CU19" i="2"/>
  <c r="CN21" i="2"/>
  <c r="CN20" i="2"/>
  <c r="CN19" i="2"/>
  <c r="CG21" i="2"/>
  <c r="CG20" i="2"/>
  <c r="CG19" i="2"/>
  <c r="BZ21" i="2"/>
  <c r="BZ20" i="2"/>
  <c r="BZ19" i="2"/>
  <c r="BS21" i="2"/>
  <c r="BS20" i="2"/>
  <c r="BS19" i="2"/>
  <c r="BL21" i="2"/>
  <c r="BL20" i="2"/>
  <c r="BL19" i="2"/>
  <c r="BE21" i="2"/>
  <c r="BE20" i="2"/>
  <c r="BE19" i="2"/>
  <c r="AX21" i="2"/>
  <c r="AX20" i="2"/>
  <c r="AX19" i="2"/>
  <c r="AQ21" i="2"/>
  <c r="AQ20" i="2"/>
  <c r="AQ19" i="2"/>
  <c r="AJ21" i="2"/>
  <c r="AJ20" i="2"/>
  <c r="AJ19" i="2"/>
  <c r="AC21" i="2"/>
  <c r="AC20" i="2"/>
  <c r="AC19" i="2"/>
  <c r="V21" i="2"/>
  <c r="V20" i="2"/>
  <c r="V19" i="2"/>
  <c r="O21" i="2"/>
  <c r="O20" i="2"/>
  <c r="O19" i="2"/>
  <c r="H21" i="2"/>
  <c r="H20" i="2"/>
  <c r="H19" i="2"/>
  <c r="A21" i="2"/>
  <c r="A20" i="2"/>
  <c r="A19" i="2"/>
  <c r="F23" i="2"/>
  <c r="F25" i="22723"/>
  <c r="M22" i="2" l="1"/>
  <c r="F22" i="2"/>
  <c r="AH22" i="2"/>
  <c r="T22" i="2"/>
  <c r="AA22" i="2"/>
  <c r="D166" i="4"/>
  <c r="D173" i="4"/>
  <c r="B26" i="22715" l="1"/>
  <c r="B142" i="3"/>
  <c r="L29" i="2"/>
  <c r="D48" i="3"/>
  <c r="K48" i="3" s="1"/>
  <c r="W46" i="2"/>
  <c r="AD46" i="2" s="1"/>
  <c r="AK46" i="2" s="1"/>
  <c r="AR46" i="2" s="1"/>
  <c r="AY46" i="2" s="1"/>
  <c r="BF46" i="2" s="1"/>
  <c r="BM46" i="2" s="1"/>
  <c r="BT46" i="2" s="1"/>
  <c r="CA46" i="2" s="1"/>
  <c r="CH46" i="2" s="1"/>
  <c r="CO46" i="2" s="1"/>
  <c r="CV46" i="2" s="1"/>
  <c r="DC46" i="2" s="1"/>
  <c r="R46" i="2"/>
  <c r="D133" i="1"/>
  <c r="B133" i="1"/>
  <c r="DE46" i="2" l="1"/>
  <c r="Y46" i="2"/>
  <c r="AF46" i="2"/>
  <c r="AM46" i="2"/>
  <c r="AT46" i="2"/>
  <c r="BA46" i="2"/>
  <c r="BH46" i="2"/>
  <c r="BO46" i="2"/>
  <c r="BV46" i="2"/>
  <c r="CC46" i="2"/>
  <c r="CJ46" i="2"/>
  <c r="CQ46" i="2"/>
  <c r="CX46" i="2"/>
  <c r="DF36" i="2"/>
  <c r="CY36" i="2"/>
  <c r="CR36" i="2"/>
  <c r="CK36" i="2"/>
  <c r="CD36" i="2"/>
  <c r="BW36" i="2"/>
  <c r="BP36" i="2"/>
  <c r="BI36" i="2"/>
  <c r="BB36" i="2"/>
  <c r="AU36" i="2"/>
  <c r="AN36" i="2"/>
  <c r="AG36" i="2"/>
  <c r="Z36" i="2"/>
  <c r="L36" i="2"/>
  <c r="S36" i="2" s="1"/>
  <c r="DF36" i="22723"/>
  <c r="CY36" i="22723"/>
  <c r="CR36" i="22723"/>
  <c r="CK36" i="22723"/>
  <c r="CD36" i="22723"/>
  <c r="BW36" i="22723"/>
  <c r="BP36" i="22723"/>
  <c r="BI36" i="22723"/>
  <c r="BB36" i="22723"/>
  <c r="AU36" i="22723"/>
  <c r="AN36" i="22723"/>
  <c r="AG36" i="22723"/>
  <c r="Z36" i="22723"/>
  <c r="S36" i="22723"/>
  <c r="L36" i="22723"/>
  <c r="M36" i="22723" s="1"/>
  <c r="M36" i="2" l="1"/>
  <c r="F36" i="3"/>
  <c r="A36" i="3"/>
  <c r="DG34" i="2"/>
  <c r="DB34" i="2"/>
  <c r="CZ34" i="2"/>
  <c r="CU34" i="2"/>
  <c r="CS34" i="2"/>
  <c r="CN34" i="2"/>
  <c r="CL34" i="2"/>
  <c r="CG34" i="2"/>
  <c r="CE34" i="2"/>
  <c r="BZ34" i="2"/>
  <c r="BX34" i="2"/>
  <c r="BS34" i="2"/>
  <c r="BQ34" i="2"/>
  <c r="BL34" i="2"/>
  <c r="BJ34" i="2"/>
  <c r="BE34" i="2"/>
  <c r="BC34" i="2"/>
  <c r="AX34" i="2"/>
  <c r="AV34" i="2"/>
  <c r="AQ34" i="2"/>
  <c r="AO34" i="2"/>
  <c r="AJ34" i="2"/>
  <c r="AH34" i="2"/>
  <c r="AC34" i="2"/>
  <c r="V34" i="2"/>
  <c r="O34" i="2"/>
  <c r="H34" i="2"/>
  <c r="A34" i="2"/>
  <c r="DG34" i="22723" l="1"/>
  <c r="DB34" i="22723"/>
  <c r="CZ34" i="22723"/>
  <c r="CU34" i="22723"/>
  <c r="CS34" i="22723"/>
  <c r="CN34" i="22723"/>
  <c r="CL34" i="22723"/>
  <c r="CG34" i="22723"/>
  <c r="CE34" i="22723"/>
  <c r="BZ34" i="22723"/>
  <c r="BX34" i="22723"/>
  <c r="BS34" i="22723"/>
  <c r="BQ34" i="22723"/>
  <c r="BL34" i="22723"/>
  <c r="BJ34" i="22723"/>
  <c r="BE34" i="22723"/>
  <c r="BC34" i="22723"/>
  <c r="AX34" i="22723"/>
  <c r="AV34" i="22723"/>
  <c r="AQ34" i="22723"/>
  <c r="AO34" i="22723"/>
  <c r="AJ34" i="22723"/>
  <c r="AH34" i="22723"/>
  <c r="AC34" i="22723"/>
  <c r="V34" i="22723"/>
  <c r="O34" i="22723"/>
  <c r="H34" i="22723"/>
  <c r="A34" i="22723"/>
  <c r="D183" i="4" l="1"/>
  <c r="B40" i="16"/>
  <c r="C40" i="16"/>
  <c r="AA16" i="2" l="1"/>
  <c r="D159" i="16"/>
  <c r="DF38" i="2" l="1"/>
  <c r="DG38" i="2" s="1"/>
  <c r="CY38" i="2"/>
  <c r="CZ38" i="2" s="1"/>
  <c r="CR38" i="2"/>
  <c r="CS38" i="2" s="1"/>
  <c r="CK38" i="2"/>
  <c r="CL38" i="2" s="1"/>
  <c r="CD38" i="2"/>
  <c r="CE38" i="2" s="1"/>
  <c r="BW38" i="2"/>
  <c r="BX38" i="2" s="1"/>
  <c r="BP38" i="2"/>
  <c r="BQ38" i="2" s="1"/>
  <c r="BI38" i="2"/>
  <c r="BJ38" i="2" s="1"/>
  <c r="BB38" i="2"/>
  <c r="BC38" i="2" s="1"/>
  <c r="AU38" i="2"/>
  <c r="AV38" i="2" s="1"/>
  <c r="AV16" i="2"/>
  <c r="DG28" i="2" l="1"/>
  <c r="CZ28" i="2"/>
  <c r="CS28" i="2"/>
  <c r="CL28" i="2"/>
  <c r="CE28" i="2"/>
  <c r="BX28" i="2"/>
  <c r="BQ28" i="2"/>
  <c r="BJ28" i="2"/>
  <c r="BC28" i="2"/>
  <c r="AV28" i="2"/>
  <c r="AO28" i="2"/>
  <c r="AH28" i="2"/>
  <c r="AA28" i="2"/>
  <c r="T28" i="2"/>
  <c r="M28" i="2"/>
  <c r="F28" i="2"/>
  <c r="DG28" i="22723"/>
  <c r="CZ28" i="22723"/>
  <c r="CS28" i="22723"/>
  <c r="CL28" i="22723"/>
  <c r="BX28" i="22723"/>
  <c r="BQ28" i="22723"/>
  <c r="BJ28" i="22723"/>
  <c r="BC28" i="22723"/>
  <c r="AV28" i="22723"/>
  <c r="AO28" i="22723"/>
  <c r="AH28" i="22723"/>
  <c r="AA28" i="22723"/>
  <c r="T28" i="22723"/>
  <c r="M28" i="22723"/>
  <c r="F28" i="22723"/>
  <c r="F25" i="3"/>
  <c r="DF46" i="2"/>
  <c r="DG46" i="2" s="1"/>
  <c r="CY46" i="2"/>
  <c r="CZ46" i="2" s="1"/>
  <c r="CR46" i="2"/>
  <c r="CS46" i="2" s="1"/>
  <c r="CK46" i="2"/>
  <c r="CL46" i="2" s="1"/>
  <c r="CD46" i="2"/>
  <c r="CE46" i="2" s="1"/>
  <c r="BW46" i="2"/>
  <c r="BX46" i="2" s="1"/>
  <c r="BP46" i="2"/>
  <c r="BQ46" i="2" s="1"/>
  <c r="BI46" i="2"/>
  <c r="BJ46" i="2" s="1"/>
  <c r="BB46" i="2"/>
  <c r="BC46" i="2" s="1"/>
  <c r="AU46" i="2"/>
  <c r="AV46" i="2" s="1"/>
  <c r="AN46" i="2"/>
  <c r="AO46" i="2" s="1"/>
  <c r="AG46" i="2"/>
  <c r="AH46" i="2" s="1"/>
  <c r="Z46" i="2"/>
  <c r="AA46" i="2" s="1"/>
  <c r="S46" i="2"/>
  <c r="T46" i="2" s="1"/>
  <c r="E115" i="1"/>
  <c r="E48" i="3"/>
  <c r="D161" i="16"/>
  <c r="CY43" i="2"/>
  <c r="D168" i="16"/>
  <c r="D167" i="4"/>
  <c r="D174" i="4"/>
  <c r="DF30" i="2"/>
  <c r="DC30" i="2"/>
  <c r="CY30" i="2"/>
  <c r="CV30" i="2"/>
  <c r="CR30" i="2"/>
  <c r="CO30" i="2"/>
  <c r="CK30" i="2"/>
  <c r="CH30" i="2"/>
  <c r="CD30" i="2"/>
  <c r="CA30" i="2"/>
  <c r="BW30" i="2"/>
  <c r="BT30" i="2"/>
  <c r="BP30" i="2"/>
  <c r="BM30" i="2"/>
  <c r="BI30" i="2"/>
  <c r="BF30" i="2"/>
  <c r="BB30" i="2"/>
  <c r="AY30" i="2"/>
  <c r="AU30" i="2"/>
  <c r="AR30" i="2"/>
  <c r="AN30" i="2"/>
  <c r="AK30" i="2"/>
  <c r="AG30" i="2"/>
  <c r="AD30" i="2"/>
  <c r="Z30" i="2"/>
  <c r="W30" i="2"/>
  <c r="S30" i="2"/>
  <c r="P30" i="2"/>
  <c r="L30" i="2"/>
  <c r="I30" i="2"/>
  <c r="DB28" i="2"/>
  <c r="CU28" i="2"/>
  <c r="CN28" i="2"/>
  <c r="CG28" i="2"/>
  <c r="BZ28" i="2"/>
  <c r="BS28" i="2"/>
  <c r="BL28" i="2"/>
  <c r="BE28" i="2"/>
  <c r="AX28" i="2"/>
  <c r="AQ28" i="2"/>
  <c r="AJ28" i="2"/>
  <c r="AC28" i="2"/>
  <c r="V28" i="2"/>
  <c r="O28" i="2"/>
  <c r="H28" i="2"/>
  <c r="E30" i="2"/>
  <c r="B30" i="2"/>
  <c r="E27" i="3"/>
  <c r="B27" i="3"/>
  <c r="DC30" i="22723"/>
  <c r="CV30" i="22723"/>
  <c r="CO30" i="22723"/>
  <c r="CH30" i="22723"/>
  <c r="CA30" i="22723"/>
  <c r="BT30" i="22723"/>
  <c r="BM30" i="22723"/>
  <c r="BF30" i="22723"/>
  <c r="AY30" i="22723"/>
  <c r="AR30" i="22723"/>
  <c r="AK30" i="22723"/>
  <c r="AD30" i="22723"/>
  <c r="W30" i="22723"/>
  <c r="P30" i="22723"/>
  <c r="I30" i="22723"/>
  <c r="B30" i="22723"/>
  <c r="H28" i="22723"/>
  <c r="V28" i="22723" s="1"/>
  <c r="B15" i="22715"/>
  <c r="C15" i="22715" s="1"/>
  <c r="D174" i="16"/>
  <c r="D35" i="1" s="1"/>
  <c r="D28" i="1"/>
  <c r="E28" i="1" s="1"/>
  <c r="A28" i="1"/>
  <c r="A10" i="22715"/>
  <c r="A11" i="22715"/>
  <c r="DC79" i="2"/>
  <c r="B32" i="22715"/>
  <c r="C32" i="22715" s="1"/>
  <c r="AS32" i="22723" s="1"/>
  <c r="S32" i="22723"/>
  <c r="B11" i="16"/>
  <c r="B65" i="4"/>
  <c r="S29" i="22723"/>
  <c r="D13" i="3"/>
  <c r="E13" i="3"/>
  <c r="E14" i="3"/>
  <c r="T25" i="22723"/>
  <c r="F10" i="22714"/>
  <c r="D69" i="16"/>
  <c r="D70" i="16"/>
  <c r="AL67" i="2" s="1"/>
  <c r="D71" i="16"/>
  <c r="AS67" i="2" s="1"/>
  <c r="D72" i="16"/>
  <c r="AZ67" i="2" s="1"/>
  <c r="D73" i="16"/>
  <c r="BG67" i="2" s="1"/>
  <c r="D74" i="16"/>
  <c r="BN67" i="2" s="1"/>
  <c r="D75" i="16"/>
  <c r="BU67" i="2" s="1"/>
  <c r="D76" i="16"/>
  <c r="CB67" i="2" s="1"/>
  <c r="D77" i="16"/>
  <c r="CI67" i="2" s="1"/>
  <c r="D78" i="16"/>
  <c r="CP67" i="2" s="1"/>
  <c r="D79" i="16"/>
  <c r="CW67" i="2" s="1"/>
  <c r="D80" i="16"/>
  <c r="DD67" i="2" s="1"/>
  <c r="CR67" i="2"/>
  <c r="CY67" i="2"/>
  <c r="C68" i="1"/>
  <c r="C69" i="1" s="1"/>
  <c r="C35" i="1"/>
  <c r="C36" i="1"/>
  <c r="C48" i="1" s="1"/>
  <c r="C39" i="1"/>
  <c r="D55" i="1"/>
  <c r="C40" i="1"/>
  <c r="E43" i="1"/>
  <c r="D21" i="1"/>
  <c r="D70" i="2"/>
  <c r="C70" i="2"/>
  <c r="F69" i="2"/>
  <c r="C14" i="2"/>
  <c r="C39" i="2" s="1"/>
  <c r="C15" i="2"/>
  <c r="D59" i="2"/>
  <c r="C45" i="2"/>
  <c r="D45" i="2"/>
  <c r="C47" i="2"/>
  <c r="D47" i="2"/>
  <c r="D65" i="2"/>
  <c r="E66" i="2"/>
  <c r="D66" i="2"/>
  <c r="C67" i="2"/>
  <c r="F54" i="2"/>
  <c r="C43" i="2"/>
  <c r="C32" i="2"/>
  <c r="E32" i="2"/>
  <c r="G8" i="2"/>
  <c r="E29" i="2"/>
  <c r="F29" i="2" s="1"/>
  <c r="G9" i="2"/>
  <c r="D9" i="2" s="1"/>
  <c r="F25" i="2"/>
  <c r="D14" i="2"/>
  <c r="E14" i="2"/>
  <c r="D15" i="2"/>
  <c r="E15" i="2"/>
  <c r="E8" i="2"/>
  <c r="E9" i="2"/>
  <c r="F22" i="5" s="1"/>
  <c r="F11" i="2"/>
  <c r="K70" i="2"/>
  <c r="J70" i="2"/>
  <c r="M69" i="2"/>
  <c r="J14" i="2"/>
  <c r="J15" i="2"/>
  <c r="J40" i="2" s="1"/>
  <c r="M40" i="2" s="1"/>
  <c r="K59" i="2"/>
  <c r="J45" i="2"/>
  <c r="K45" i="2"/>
  <c r="J47" i="2"/>
  <c r="K47" i="2"/>
  <c r="L61" i="2"/>
  <c r="L62" i="2"/>
  <c r="M62" i="2" s="1"/>
  <c r="K65" i="2"/>
  <c r="L66" i="2"/>
  <c r="K66" i="2"/>
  <c r="D66" i="16"/>
  <c r="J67" i="2" s="1"/>
  <c r="M54" i="2"/>
  <c r="J32" i="2"/>
  <c r="L32" i="2"/>
  <c r="M25" i="2"/>
  <c r="K14" i="2"/>
  <c r="L14" i="2"/>
  <c r="K15" i="2"/>
  <c r="L15" i="2"/>
  <c r="L8" i="2"/>
  <c r="L9" i="2"/>
  <c r="M11" i="2"/>
  <c r="R70" i="2"/>
  <c r="Q70" i="2"/>
  <c r="T69" i="2"/>
  <c r="Q14" i="2"/>
  <c r="Q15" i="2"/>
  <c r="Q40" i="2" s="1"/>
  <c r="T40" i="2" s="1"/>
  <c r="R59" i="2"/>
  <c r="Q45" i="2"/>
  <c r="R45" i="2"/>
  <c r="Q47" i="2"/>
  <c r="R47" i="2"/>
  <c r="R64" i="2"/>
  <c r="R65" i="2"/>
  <c r="S66" i="2"/>
  <c r="R66" i="2"/>
  <c r="D67" i="16"/>
  <c r="Q67" i="2" s="1"/>
  <c r="T54" i="2"/>
  <c r="R38" i="2"/>
  <c r="Q43" i="2"/>
  <c r="Q32" i="2"/>
  <c r="S32" i="2"/>
  <c r="S29" i="2"/>
  <c r="T25" i="2"/>
  <c r="R14" i="2"/>
  <c r="S14" i="2"/>
  <c r="R15" i="2"/>
  <c r="S15" i="2"/>
  <c r="S8" i="2"/>
  <c r="S9" i="2"/>
  <c r="T11" i="2"/>
  <c r="Y70" i="2"/>
  <c r="X70" i="2"/>
  <c r="AA69" i="2"/>
  <c r="Y59" i="2"/>
  <c r="X45" i="2"/>
  <c r="Y45" i="2"/>
  <c r="X47" i="2"/>
  <c r="Y47" i="2"/>
  <c r="Y62" i="2"/>
  <c r="Y64" i="2"/>
  <c r="Y65" i="2"/>
  <c r="Z66" i="2"/>
  <c r="Y66" i="2"/>
  <c r="D68" i="16"/>
  <c r="X67" i="2" s="1"/>
  <c r="AA54" i="2"/>
  <c r="Y38" i="2"/>
  <c r="X43" i="2"/>
  <c r="X32" i="2"/>
  <c r="Z32" i="2"/>
  <c r="Z29" i="2"/>
  <c r="AA25" i="2"/>
  <c r="Z14" i="2"/>
  <c r="Z15" i="2"/>
  <c r="Z8" i="2"/>
  <c r="Z9" i="2"/>
  <c r="AA11" i="2"/>
  <c r="D70" i="3"/>
  <c r="C70" i="3"/>
  <c r="F69" i="3"/>
  <c r="C13" i="3"/>
  <c r="C42" i="3"/>
  <c r="F42" i="3" s="1"/>
  <c r="D41" i="3"/>
  <c r="D40" i="3"/>
  <c r="D59" i="3"/>
  <c r="C47" i="3"/>
  <c r="D47" i="3"/>
  <c r="C49" i="3"/>
  <c r="D49" i="3"/>
  <c r="D63" i="3"/>
  <c r="D65" i="3"/>
  <c r="D66" i="3"/>
  <c r="E67" i="3"/>
  <c r="D67" i="3"/>
  <c r="F54" i="3"/>
  <c r="K54" i="3" s="1"/>
  <c r="C45" i="3"/>
  <c r="C34" i="3"/>
  <c r="E34" i="3"/>
  <c r="E26" i="3"/>
  <c r="F23" i="3"/>
  <c r="E7" i="3"/>
  <c r="E8" i="3"/>
  <c r="F10" i="3"/>
  <c r="B47" i="22715" s="1"/>
  <c r="C41" i="4"/>
  <c r="B41" i="4"/>
  <c r="C26" i="4"/>
  <c r="D21" i="22714" s="1"/>
  <c r="C35" i="22714"/>
  <c r="C47" i="22714" s="1"/>
  <c r="C36" i="22714"/>
  <c r="C48" i="22714" s="1"/>
  <c r="C39" i="22714"/>
  <c r="C54" i="22714" s="1"/>
  <c r="C40" i="22714"/>
  <c r="E43" i="22714"/>
  <c r="C27" i="4"/>
  <c r="C28" i="4"/>
  <c r="E10" i="22714"/>
  <c r="D70" i="22723"/>
  <c r="C70" i="22723"/>
  <c r="F69" i="22723"/>
  <c r="D65" i="4"/>
  <c r="F29" i="4"/>
  <c r="C29" i="4"/>
  <c r="D40" i="22723"/>
  <c r="D59" i="22723"/>
  <c r="C45" i="22723"/>
  <c r="D45" i="22723"/>
  <c r="C47" i="22723"/>
  <c r="D47" i="22723"/>
  <c r="C43" i="22723"/>
  <c r="D39" i="22723"/>
  <c r="D57" i="22723" s="1"/>
  <c r="E32" i="22723"/>
  <c r="E29" i="22723"/>
  <c r="C65" i="4"/>
  <c r="C73" i="4" s="1"/>
  <c r="BK9" i="22723" s="1"/>
  <c r="F11" i="22723"/>
  <c r="L32" i="22723"/>
  <c r="L29" i="22723"/>
  <c r="M25" i="22723"/>
  <c r="T11" i="22723"/>
  <c r="Z32" i="22723"/>
  <c r="Z29" i="22723"/>
  <c r="AA25" i="22723"/>
  <c r="B100" i="22725"/>
  <c r="J96" i="22715" s="1"/>
  <c r="D9" i="22725"/>
  <c r="C35" i="4"/>
  <c r="F10" i="22725"/>
  <c r="D47" i="22715" s="1"/>
  <c r="A1" i="22715"/>
  <c r="A1" i="4" s="1"/>
  <c r="B24" i="4"/>
  <c r="B40" i="4"/>
  <c r="AG29" i="22723"/>
  <c r="AG32" i="22723"/>
  <c r="AH25" i="22723"/>
  <c r="AL14" i="22723"/>
  <c r="AM14" i="22723"/>
  <c r="AN29" i="22723"/>
  <c r="AN32" i="22723"/>
  <c r="AO25" i="22723"/>
  <c r="AS14" i="22723"/>
  <c r="AT14" i="22723"/>
  <c r="AT15" i="22723"/>
  <c r="AU29" i="22723"/>
  <c r="AU32" i="22723"/>
  <c r="AV25" i="22723"/>
  <c r="AZ14" i="22723"/>
  <c r="BA14" i="22723"/>
  <c r="BA15" i="22723"/>
  <c r="BB29" i="22723"/>
  <c r="BB32" i="22723"/>
  <c r="BC25" i="22723"/>
  <c r="BG14" i="22723"/>
  <c r="BH14" i="22723"/>
  <c r="BI29" i="22723"/>
  <c r="BI32" i="22723"/>
  <c r="BJ25" i="22723"/>
  <c r="BN14" i="22723"/>
  <c r="BO14" i="22723"/>
  <c r="BO15" i="22723"/>
  <c r="BP29" i="22723"/>
  <c r="BP32" i="22723"/>
  <c r="BQ25" i="22723"/>
  <c r="BU14" i="22723"/>
  <c r="BV14" i="22723"/>
  <c r="BV15" i="22723"/>
  <c r="BW29" i="22723"/>
  <c r="BW32" i="22723"/>
  <c r="BX25" i="22723"/>
  <c r="CB14" i="22723"/>
  <c r="CC14" i="22723"/>
  <c r="CE28" i="22723"/>
  <c r="CD29" i="22723"/>
  <c r="CD32" i="22723"/>
  <c r="CE25" i="22723"/>
  <c r="CI14" i="22723"/>
  <c r="CJ14" i="22723"/>
  <c r="CJ15" i="22723"/>
  <c r="CK29" i="22723"/>
  <c r="CK32" i="22723"/>
  <c r="CL25" i="22723"/>
  <c r="CP14" i="22723"/>
  <c r="CQ14" i="22723"/>
  <c r="CQ15" i="22723"/>
  <c r="CR29" i="22723"/>
  <c r="CR32" i="22723"/>
  <c r="CS25" i="22723"/>
  <c r="CW14" i="22723"/>
  <c r="CX14" i="22723"/>
  <c r="CY29" i="22723"/>
  <c r="CY32" i="22723"/>
  <c r="CZ25" i="22723"/>
  <c r="DD14" i="22723"/>
  <c r="DE14" i="22723"/>
  <c r="DE15" i="22723"/>
  <c r="DF29" i="22723"/>
  <c r="DF32" i="22723"/>
  <c r="DG25" i="22723"/>
  <c r="DC79" i="22723"/>
  <c r="AF70" i="2"/>
  <c r="AE70" i="2"/>
  <c r="AH69" i="2"/>
  <c r="AF59" i="2"/>
  <c r="AE45" i="2"/>
  <c r="AF45" i="2"/>
  <c r="AE47" i="2"/>
  <c r="AF47" i="2"/>
  <c r="AF62" i="2"/>
  <c r="AF64" i="2"/>
  <c r="AF65" i="2"/>
  <c r="AF66" i="2"/>
  <c r="AG66" i="2"/>
  <c r="AH54" i="2"/>
  <c r="AF38" i="2"/>
  <c r="AE43" i="2"/>
  <c r="AE32" i="2"/>
  <c r="AG32" i="2"/>
  <c r="AG29" i="2"/>
  <c r="AH25" i="2"/>
  <c r="AG8" i="2"/>
  <c r="AG9" i="2"/>
  <c r="AH11" i="2"/>
  <c r="AM70" i="2"/>
  <c r="AL70" i="2"/>
  <c r="AO69" i="2"/>
  <c r="AM59" i="2"/>
  <c r="AL45" i="2"/>
  <c r="AM45" i="2"/>
  <c r="AL47" i="2"/>
  <c r="AM47" i="2"/>
  <c r="AN61" i="2"/>
  <c r="AM62" i="2"/>
  <c r="AM64" i="2"/>
  <c r="AM65" i="2"/>
  <c r="AM66" i="2"/>
  <c r="AN66" i="2"/>
  <c r="AO54" i="2"/>
  <c r="AM38" i="2"/>
  <c r="AL43" i="2"/>
  <c r="AL32" i="2"/>
  <c r="AN32" i="2"/>
  <c r="AN29" i="2"/>
  <c r="AO25" i="2"/>
  <c r="AN8" i="2"/>
  <c r="AN9" i="2"/>
  <c r="AO11" i="2"/>
  <c r="AT70" i="2"/>
  <c r="AS70" i="2"/>
  <c r="AV69" i="2"/>
  <c r="AT59" i="2"/>
  <c r="AS45" i="2"/>
  <c r="AT45" i="2"/>
  <c r="AS47" i="2"/>
  <c r="AT47" i="2"/>
  <c r="AT62" i="2"/>
  <c r="AT64" i="2"/>
  <c r="AT65" i="2"/>
  <c r="AT66" i="2"/>
  <c r="AU66" i="2"/>
  <c r="AV54" i="2"/>
  <c r="AS43" i="2"/>
  <c r="AS32" i="2"/>
  <c r="AU32" i="2"/>
  <c r="AU29" i="2"/>
  <c r="AV25" i="2"/>
  <c r="AU8" i="2"/>
  <c r="AU9" i="2"/>
  <c r="AV11" i="2"/>
  <c r="BA70" i="2"/>
  <c r="AZ70" i="2"/>
  <c r="BC69" i="2"/>
  <c r="BA59" i="2"/>
  <c r="AZ45" i="2"/>
  <c r="BA45" i="2"/>
  <c r="AZ47" i="2"/>
  <c r="BA47" i="2"/>
  <c r="BA64" i="2"/>
  <c r="BA65" i="2"/>
  <c r="BA66" i="2"/>
  <c r="BB66" i="2"/>
  <c r="BC54" i="2"/>
  <c r="AZ43" i="2"/>
  <c r="AZ32" i="2"/>
  <c r="BB32" i="2"/>
  <c r="BB29" i="2"/>
  <c r="BC25" i="2"/>
  <c r="BB8" i="2"/>
  <c r="BB9" i="2"/>
  <c r="BC11" i="2"/>
  <c r="BH70" i="2"/>
  <c r="BG70" i="2"/>
  <c r="BJ69" i="2"/>
  <c r="BH59" i="2"/>
  <c r="BG45" i="2"/>
  <c r="BH45" i="2"/>
  <c r="BG47" i="2"/>
  <c r="BH47" i="2"/>
  <c r="BH64" i="2"/>
  <c r="BH65" i="2"/>
  <c r="BH66" i="2"/>
  <c r="BI66" i="2"/>
  <c r="BJ54" i="2"/>
  <c r="BG43" i="2"/>
  <c r="BG32" i="2"/>
  <c r="BI32" i="2"/>
  <c r="BI29" i="2"/>
  <c r="BJ25" i="2"/>
  <c r="BI8" i="2"/>
  <c r="BI9" i="2"/>
  <c r="BJ11" i="2"/>
  <c r="BO70" i="2"/>
  <c r="BN70" i="2"/>
  <c r="BQ69" i="2"/>
  <c r="BO59" i="2"/>
  <c r="BN45" i="2"/>
  <c r="BO45" i="2"/>
  <c r="BN47" i="2"/>
  <c r="BO47" i="2"/>
  <c r="BO65" i="2"/>
  <c r="BO66" i="2"/>
  <c r="BP66" i="2"/>
  <c r="BQ54" i="2"/>
  <c r="BN43" i="2"/>
  <c r="BN32" i="2"/>
  <c r="BP32" i="2"/>
  <c r="BP29" i="2"/>
  <c r="BQ25" i="2"/>
  <c r="BP8" i="2"/>
  <c r="BP9" i="2"/>
  <c r="BQ11" i="2"/>
  <c r="BV70" i="2"/>
  <c r="BU70" i="2"/>
  <c r="BX69" i="2"/>
  <c r="BV59" i="2"/>
  <c r="BU45" i="2"/>
  <c r="BV45" i="2"/>
  <c r="BU47" i="2"/>
  <c r="BV47" i="2"/>
  <c r="BV62" i="2"/>
  <c r="BW62" i="2"/>
  <c r="BV64" i="2"/>
  <c r="BV65" i="2"/>
  <c r="BV66" i="2"/>
  <c r="BW66" i="2"/>
  <c r="BX54" i="2"/>
  <c r="BU43" i="2"/>
  <c r="BU32" i="2"/>
  <c r="BW32" i="2"/>
  <c r="BW29" i="2"/>
  <c r="BX25" i="2"/>
  <c r="BW8" i="2"/>
  <c r="BW9" i="2"/>
  <c r="BX11" i="2"/>
  <c r="CC70" i="2"/>
  <c r="CB70" i="2"/>
  <c r="CE69" i="2"/>
  <c r="CC59" i="2"/>
  <c r="CB45" i="2"/>
  <c r="CC45" i="2"/>
  <c r="CB47" i="2"/>
  <c r="CC47" i="2"/>
  <c r="CC62" i="2"/>
  <c r="CC64" i="2"/>
  <c r="CC65" i="2"/>
  <c r="CC66" i="2"/>
  <c r="CD66" i="2"/>
  <c r="CE54" i="2"/>
  <c r="CB43" i="2"/>
  <c r="CB32" i="2"/>
  <c r="CD32" i="2"/>
  <c r="CD29" i="2"/>
  <c r="CE25" i="2"/>
  <c r="CD8" i="2"/>
  <c r="CD9" i="2"/>
  <c r="CE11" i="2"/>
  <c r="CJ70" i="2"/>
  <c r="CI70" i="2"/>
  <c r="CL69" i="2"/>
  <c r="CJ59" i="2"/>
  <c r="CI45" i="2"/>
  <c r="CJ45" i="2"/>
  <c r="CI47" i="2"/>
  <c r="CJ47" i="2"/>
  <c r="CJ64" i="2"/>
  <c r="CJ65" i="2"/>
  <c r="CJ66" i="2"/>
  <c r="CK66" i="2"/>
  <c r="CL54" i="2"/>
  <c r="CI43" i="2"/>
  <c r="CI32" i="2"/>
  <c r="CK32" i="2"/>
  <c r="CK29" i="2"/>
  <c r="CL25" i="2"/>
  <c r="CK8" i="2"/>
  <c r="CK9" i="2"/>
  <c r="CL11" i="2"/>
  <c r="CQ70" i="2"/>
  <c r="CP70" i="2"/>
  <c r="CS69" i="2"/>
  <c r="CQ59" i="2"/>
  <c r="CP45" i="2"/>
  <c r="CQ45" i="2"/>
  <c r="CP47" i="2"/>
  <c r="CQ47" i="2"/>
  <c r="CQ62" i="2"/>
  <c r="CQ64" i="2"/>
  <c r="CQ65" i="2"/>
  <c r="CQ66" i="2"/>
  <c r="CR66" i="2"/>
  <c r="CS54" i="2"/>
  <c r="CP43" i="2"/>
  <c r="CP32" i="2"/>
  <c r="CR32" i="2"/>
  <c r="CR29" i="2"/>
  <c r="CS25" i="2"/>
  <c r="CR8" i="2"/>
  <c r="CR9" i="2"/>
  <c r="CS11" i="2"/>
  <c r="CX70" i="2"/>
  <c r="CW70" i="2"/>
  <c r="CZ69" i="2"/>
  <c r="CX59" i="2"/>
  <c r="CW45" i="2"/>
  <c r="CX45" i="2"/>
  <c r="CW47" i="2"/>
  <c r="CX47" i="2"/>
  <c r="CX62" i="2"/>
  <c r="CX64" i="2"/>
  <c r="CX65" i="2"/>
  <c r="CX66" i="2"/>
  <c r="CY66" i="2"/>
  <c r="CZ54" i="2"/>
  <c r="CW43" i="2"/>
  <c r="CW32" i="2"/>
  <c r="CY32" i="2"/>
  <c r="CY29" i="2"/>
  <c r="CZ25" i="2"/>
  <c r="CY8" i="2"/>
  <c r="CY9" i="2"/>
  <c r="CZ11" i="2"/>
  <c r="DE70" i="2"/>
  <c r="DD70" i="2"/>
  <c r="DG69" i="2"/>
  <c r="DE59" i="2"/>
  <c r="DD45" i="2"/>
  <c r="DE45" i="2"/>
  <c r="DD47" i="2"/>
  <c r="DE47" i="2"/>
  <c r="DE62" i="2"/>
  <c r="DE64" i="2"/>
  <c r="DE65" i="2"/>
  <c r="DE66" i="2"/>
  <c r="DF66" i="2"/>
  <c r="DG54" i="2"/>
  <c r="DD43" i="2"/>
  <c r="DD32" i="2"/>
  <c r="DF32" i="2"/>
  <c r="DF29" i="2"/>
  <c r="DG25" i="2"/>
  <c r="G3" i="22715"/>
  <c r="D94" i="1"/>
  <c r="D95" i="1" s="1"/>
  <c r="F101" i="1" s="1"/>
  <c r="D177" i="4"/>
  <c r="D165" i="4"/>
  <c r="D159" i="4"/>
  <c r="E29" i="1"/>
  <c r="C21" i="1"/>
  <c r="C22" i="1" s="1"/>
  <c r="E22" i="1" s="1"/>
  <c r="D166" i="16"/>
  <c r="D167" i="16"/>
  <c r="CY47" i="2" s="1"/>
  <c r="D173" i="16"/>
  <c r="D40" i="1"/>
  <c r="D68" i="1" s="1"/>
  <c r="A10" i="3"/>
  <c r="F36" i="2"/>
  <c r="F36" i="22723"/>
  <c r="F33" i="22723"/>
  <c r="F33" i="2"/>
  <c r="M33" i="22723"/>
  <c r="T36" i="22723"/>
  <c r="T33" i="22723"/>
  <c r="AA36" i="22723"/>
  <c r="AA33" i="22723"/>
  <c r="AH36" i="22723"/>
  <c r="AH33" i="22723"/>
  <c r="AO36" i="22723"/>
  <c r="AO33" i="22723"/>
  <c r="AV36" i="22723"/>
  <c r="AV33" i="22723"/>
  <c r="BC36" i="22723"/>
  <c r="BC33" i="22723"/>
  <c r="BJ36" i="22723"/>
  <c r="BJ33" i="22723"/>
  <c r="BQ36" i="22723"/>
  <c r="BQ33" i="22723"/>
  <c r="BX36" i="22723"/>
  <c r="BX33" i="22723"/>
  <c r="CE36" i="22723"/>
  <c r="CE33" i="22723"/>
  <c r="CL36" i="22723"/>
  <c r="CL33" i="22723"/>
  <c r="CS36" i="22723"/>
  <c r="CS33" i="22723"/>
  <c r="CZ36" i="22723"/>
  <c r="CZ33" i="22723"/>
  <c r="DG36" i="22723"/>
  <c r="DG33" i="22723"/>
  <c r="A10" i="22725"/>
  <c r="B16" i="22715"/>
  <c r="C16" i="22715" s="1"/>
  <c r="M33" i="2"/>
  <c r="T36" i="2"/>
  <c r="T33" i="2"/>
  <c r="AA36" i="2"/>
  <c r="AA33" i="2"/>
  <c r="B34" i="22715"/>
  <c r="C34" i="22715" s="1"/>
  <c r="C34" i="22725" s="1"/>
  <c r="DG11" i="2"/>
  <c r="B18" i="22715"/>
  <c r="C18" i="22715" s="1"/>
  <c r="B17" i="22715"/>
  <c r="C17" i="22715" s="1"/>
  <c r="AH36" i="2"/>
  <c r="AH33" i="2"/>
  <c r="AO36" i="2"/>
  <c r="AO33" i="2"/>
  <c r="AV36" i="2"/>
  <c r="AV33" i="2"/>
  <c r="BC36" i="2"/>
  <c r="BC33" i="2"/>
  <c r="BJ36" i="2"/>
  <c r="BJ33" i="2"/>
  <c r="BQ36" i="2"/>
  <c r="BQ33" i="2"/>
  <c r="BX36" i="2"/>
  <c r="BX33" i="2"/>
  <c r="CE36" i="2"/>
  <c r="CE33" i="2"/>
  <c r="CL36" i="2"/>
  <c r="CL33" i="2"/>
  <c r="CS36" i="2"/>
  <c r="CS33" i="2"/>
  <c r="CZ36" i="2"/>
  <c r="CZ33" i="2"/>
  <c r="DG36" i="2"/>
  <c r="DG33" i="2"/>
  <c r="B5" i="2"/>
  <c r="B9" i="22715"/>
  <c r="C9" i="22715" s="1"/>
  <c r="DF8" i="2"/>
  <c r="DF9" i="2"/>
  <c r="J51" i="3"/>
  <c r="J40" i="3"/>
  <c r="K40" i="3" s="1"/>
  <c r="J49" i="3"/>
  <c r="B54" i="22726"/>
  <c r="B53" i="22726"/>
  <c r="F38" i="22725"/>
  <c r="B14" i="22714"/>
  <c r="B13" i="22714"/>
  <c r="B66" i="16"/>
  <c r="N8" i="2" s="1"/>
  <c r="C66" i="16"/>
  <c r="N9" i="2" s="1"/>
  <c r="B67" i="16"/>
  <c r="U8" i="2" s="1"/>
  <c r="C67" i="16"/>
  <c r="B68" i="16"/>
  <c r="AB8" i="2" s="1"/>
  <c r="C68" i="16"/>
  <c r="AB9" i="2" s="1"/>
  <c r="B24" i="16"/>
  <c r="B15" i="1" s="1"/>
  <c r="F38" i="3"/>
  <c r="B69" i="16"/>
  <c r="AI8" i="2" s="1"/>
  <c r="B70" i="16"/>
  <c r="AP8" i="2" s="1"/>
  <c r="B71" i="16"/>
  <c r="AW8" i="2" s="1"/>
  <c r="B72" i="16"/>
  <c r="BD8" i="2" s="1"/>
  <c r="B73" i="16"/>
  <c r="BK8" i="2" s="1"/>
  <c r="B74" i="16"/>
  <c r="BR8" i="2" s="1"/>
  <c r="B75" i="16"/>
  <c r="BY8" i="2" s="1"/>
  <c r="B76" i="16"/>
  <c r="CF8" i="2" s="1"/>
  <c r="B77" i="16"/>
  <c r="CM8" i="2" s="1"/>
  <c r="B78" i="16"/>
  <c r="CT8" i="2" s="1"/>
  <c r="B79" i="16"/>
  <c r="DA8" i="2" s="1"/>
  <c r="B80" i="16"/>
  <c r="C69" i="16"/>
  <c r="AI9" i="2" s="1"/>
  <c r="C70" i="16"/>
  <c r="AP9" i="2" s="1"/>
  <c r="C71" i="16"/>
  <c r="AW9" i="2" s="1"/>
  <c r="C72" i="16"/>
  <c r="BD9" i="2" s="1"/>
  <c r="C73" i="16"/>
  <c r="BK9" i="2" s="1"/>
  <c r="C74" i="16"/>
  <c r="BR9" i="2" s="1"/>
  <c r="C75" i="16"/>
  <c r="BY9" i="2" s="1"/>
  <c r="C76" i="16"/>
  <c r="CF9" i="2" s="1"/>
  <c r="C77" i="16"/>
  <c r="CM9" i="2" s="1"/>
  <c r="C78" i="16"/>
  <c r="CT9" i="2" s="1"/>
  <c r="C79" i="16"/>
  <c r="DA9" i="2" s="1"/>
  <c r="C80" i="16"/>
  <c r="B1" i="4"/>
  <c r="G197" i="22715"/>
  <c r="G98" i="22715"/>
  <c r="I86" i="22715"/>
  <c r="F21" i="22726"/>
  <c r="E21" i="22726"/>
  <c r="C40" i="4"/>
  <c r="C63" i="4"/>
  <c r="F2" i="22715"/>
  <c r="B1" i="22714"/>
  <c r="B1" i="22725" s="1"/>
  <c r="B1" i="22723"/>
  <c r="A1" i="22723"/>
  <c r="C8" i="22714"/>
  <c r="C7" i="22714"/>
  <c r="A109" i="3"/>
  <c r="B9" i="2"/>
  <c r="F21" i="5" s="1"/>
  <c r="C2" i="5"/>
  <c r="B1" i="2"/>
  <c r="A1" i="5"/>
  <c r="B1" i="16"/>
  <c r="B21" i="22715"/>
  <c r="C21" i="22715" s="1"/>
  <c r="B2" i="3"/>
  <c r="B15" i="2"/>
  <c r="B14" i="2"/>
  <c r="B2" i="1"/>
  <c r="A2" i="5"/>
  <c r="A2" i="3"/>
  <c r="A2" i="1"/>
  <c r="C7" i="1"/>
  <c r="C8" i="1"/>
  <c r="B1" i="1"/>
  <c r="B54" i="5"/>
  <c r="B53" i="5"/>
  <c r="B8" i="3"/>
  <c r="C89" i="3" s="1"/>
  <c r="F12" i="1"/>
  <c r="G10" i="1" s="1"/>
  <c r="CV9" i="2"/>
  <c r="BT9" i="2"/>
  <c r="BF9" i="2"/>
  <c r="AY9" i="2"/>
  <c r="P9" i="2"/>
  <c r="C42" i="16"/>
  <c r="C43" i="16"/>
  <c r="C44" i="16"/>
  <c r="C45" i="16"/>
  <c r="C46" i="16"/>
  <c r="C47" i="16"/>
  <c r="C48" i="16"/>
  <c r="C49" i="16"/>
  <c r="C50" i="16"/>
  <c r="C51" i="16"/>
  <c r="C52" i="16"/>
  <c r="C53" i="16"/>
  <c r="C54" i="16"/>
  <c r="C55" i="16"/>
  <c r="C56" i="16"/>
  <c r="B42" i="16"/>
  <c r="B43" i="16"/>
  <c r="B44" i="16"/>
  <c r="B45" i="16"/>
  <c r="B46" i="16"/>
  <c r="B47" i="16"/>
  <c r="B48" i="16"/>
  <c r="B49" i="16"/>
  <c r="B50" i="16"/>
  <c r="B51" i="16"/>
  <c r="B52" i="16"/>
  <c r="B53" i="16"/>
  <c r="B54" i="16"/>
  <c r="B55" i="16"/>
  <c r="B56" i="16"/>
  <c r="B7" i="3"/>
  <c r="C88" i="3" s="1"/>
  <c r="C63" i="16"/>
  <c r="B63" i="16"/>
  <c r="B3" i="22715"/>
  <c r="B19" i="22715"/>
  <c r="C19" i="22715" s="1"/>
  <c r="G248" i="22715"/>
  <c r="G247" i="22715"/>
  <c r="G252" i="22715" s="1"/>
  <c r="G246" i="22715"/>
  <c r="G251" i="22715" s="1"/>
  <c r="G220" i="22715"/>
  <c r="G225" i="22715" s="1"/>
  <c r="G219" i="22715"/>
  <c r="G224" i="22715" s="1"/>
  <c r="G196" i="22715"/>
  <c r="G201" i="22715" s="1"/>
  <c r="G195" i="22715"/>
  <c r="G200" i="22715" s="1"/>
  <c r="G194" i="22715"/>
  <c r="G199" i="22715" s="1"/>
  <c r="G174" i="22715"/>
  <c r="G178" i="22715" s="1"/>
  <c r="G175" i="22715"/>
  <c r="G179" i="22715" s="1"/>
  <c r="G127" i="22715"/>
  <c r="G133" i="22715" s="1"/>
  <c r="G112" i="22715"/>
  <c r="G117" i="22715" s="1"/>
  <c r="G85" i="22715"/>
  <c r="G90" i="22715" s="1"/>
  <c r="G84" i="22715"/>
  <c r="G89" i="22715" s="1"/>
  <c r="G83" i="22715"/>
  <c r="G88" i="22715" s="1"/>
  <c r="B75" i="22715"/>
  <c r="B8" i="22715"/>
  <c r="C8" i="22715" s="1"/>
  <c r="A136" i="3"/>
  <c r="G154" i="22715" s="1"/>
  <c r="A130" i="3"/>
  <c r="G128" i="22715" s="1"/>
  <c r="A123" i="3"/>
  <c r="G113" i="22715" s="1"/>
  <c r="A135" i="3"/>
  <c r="G153" i="22715" s="1"/>
  <c r="G157" i="22715" s="1"/>
  <c r="A134" i="3"/>
  <c r="G152" i="22715" s="1"/>
  <c r="G156" i="22715" s="1"/>
  <c r="A128" i="3"/>
  <c r="G126" i="22715" s="1"/>
  <c r="G132" i="22715" s="1"/>
  <c r="A106" i="3"/>
  <c r="A120" i="3" s="1"/>
  <c r="G110" i="22715" s="1"/>
  <c r="G115" i="22715" s="1"/>
  <c r="A101" i="3"/>
  <c r="G97" i="22715" s="1"/>
  <c r="G101" i="22715" s="1"/>
  <c r="A100" i="3"/>
  <c r="G96" i="22715" s="1"/>
  <c r="G100" i="22715" s="1"/>
  <c r="A127" i="3"/>
  <c r="G125" i="22715" s="1"/>
  <c r="G131" i="22715" s="1"/>
  <c r="A107" i="3"/>
  <c r="A121" i="3" s="1"/>
  <c r="G111" i="22715" s="1"/>
  <c r="G116" i="22715" s="1"/>
  <c r="A1" i="2"/>
  <c r="W29" i="2"/>
  <c r="W28" i="2"/>
  <c r="P29" i="2"/>
  <c r="P28" i="2"/>
  <c r="I29" i="2"/>
  <c r="I28" i="2"/>
  <c r="B29" i="2"/>
  <c r="B28" i="2"/>
  <c r="DC29" i="2"/>
  <c r="DC28" i="2"/>
  <c r="CV29" i="2"/>
  <c r="CV28" i="2"/>
  <c r="CO29" i="2"/>
  <c r="CO28" i="2"/>
  <c r="CH29" i="2"/>
  <c r="CH28" i="2"/>
  <c r="CA29" i="2"/>
  <c r="CA28" i="2"/>
  <c r="BT29" i="2"/>
  <c r="BT28" i="2"/>
  <c r="BM29" i="2"/>
  <c r="BM28" i="2"/>
  <c r="BF29" i="2"/>
  <c r="BF28" i="2"/>
  <c r="AY29" i="2"/>
  <c r="AY28" i="2"/>
  <c r="AR29" i="2"/>
  <c r="AR28" i="2"/>
  <c r="AK29" i="2"/>
  <c r="AK28" i="2"/>
  <c r="AD28" i="2"/>
  <c r="AD29" i="2"/>
  <c r="DC59" i="2"/>
  <c r="CV59" i="2"/>
  <c r="CO59" i="2"/>
  <c r="CH59" i="2"/>
  <c r="CA59" i="2"/>
  <c r="BT59" i="2"/>
  <c r="BM59" i="2"/>
  <c r="BF59" i="2"/>
  <c r="AY59" i="2"/>
  <c r="AR59" i="2"/>
  <c r="AK59" i="2"/>
  <c r="AD59" i="2"/>
  <c r="W59" i="2"/>
  <c r="P59" i="2"/>
  <c r="I59" i="2"/>
  <c r="B59" i="2"/>
  <c r="DC54" i="2"/>
  <c r="DC49" i="2"/>
  <c r="DC47" i="2"/>
  <c r="DC45" i="2"/>
  <c r="DC43" i="2"/>
  <c r="CV54" i="2"/>
  <c r="CV49" i="2"/>
  <c r="CV47" i="2"/>
  <c r="CV45" i="2"/>
  <c r="CV43" i="2"/>
  <c r="CO54" i="2"/>
  <c r="CO49" i="2"/>
  <c r="CO47" i="2"/>
  <c r="CO45" i="2"/>
  <c r="CO43" i="2"/>
  <c r="CH54" i="2"/>
  <c r="CH49" i="2"/>
  <c r="CH47" i="2"/>
  <c r="CH45" i="2"/>
  <c r="CH43" i="2"/>
  <c r="CA54" i="2"/>
  <c r="CA49" i="2"/>
  <c r="CA47" i="2"/>
  <c r="CA45" i="2"/>
  <c r="CA43" i="2"/>
  <c r="BT54" i="2"/>
  <c r="BT49" i="2"/>
  <c r="BT47" i="2"/>
  <c r="BT45" i="2"/>
  <c r="BT43" i="2"/>
  <c r="BM54" i="2"/>
  <c r="BM49" i="2"/>
  <c r="BM47" i="2"/>
  <c r="BM45" i="2"/>
  <c r="BM43" i="2"/>
  <c r="BF54" i="2"/>
  <c r="BF49" i="2"/>
  <c r="BF47" i="2"/>
  <c r="BF45" i="2"/>
  <c r="BF43" i="2"/>
  <c r="AY54" i="2"/>
  <c r="AY49" i="2"/>
  <c r="AY47" i="2"/>
  <c r="AY45" i="2"/>
  <c r="AY43" i="2"/>
  <c r="AR54" i="2"/>
  <c r="AR49" i="2"/>
  <c r="AR47" i="2"/>
  <c r="AR45" i="2"/>
  <c r="AR43" i="2"/>
  <c r="AK54" i="2"/>
  <c r="AK49" i="2"/>
  <c r="AK47" i="2"/>
  <c r="AK45" i="2"/>
  <c r="AK43" i="2"/>
  <c r="AK38" i="2"/>
  <c r="AD54" i="2"/>
  <c r="AD49" i="2"/>
  <c r="AD47" i="2"/>
  <c r="AD45" i="2"/>
  <c r="AD43" i="2"/>
  <c r="AD38" i="2"/>
  <c r="W54" i="2"/>
  <c r="W49" i="2"/>
  <c r="W47" i="2"/>
  <c r="W45" i="2"/>
  <c r="W43" i="2"/>
  <c r="W38" i="2"/>
  <c r="P54" i="2"/>
  <c r="P49" i="2"/>
  <c r="P47" i="2"/>
  <c r="P45" i="2"/>
  <c r="P43" i="2"/>
  <c r="P38" i="2"/>
  <c r="I54" i="2"/>
  <c r="I49" i="2"/>
  <c r="I47" i="2"/>
  <c r="I45" i="2"/>
  <c r="B54" i="2"/>
  <c r="B49" i="2"/>
  <c r="B47" i="2"/>
  <c r="B45" i="2"/>
  <c r="B43" i="2"/>
  <c r="B39" i="2"/>
  <c r="W15" i="2"/>
  <c r="W14" i="2"/>
  <c r="P15" i="2"/>
  <c r="P14" i="2"/>
  <c r="I15" i="2"/>
  <c r="I14" i="2"/>
  <c r="B11" i="1"/>
  <c r="B10" i="1"/>
  <c r="A10" i="1"/>
  <c r="A1" i="1"/>
  <c r="B115" i="1"/>
  <c r="B114" i="1"/>
  <c r="D131" i="1"/>
  <c r="B13" i="1"/>
  <c r="B14" i="1"/>
  <c r="B8" i="1"/>
  <c r="B40" i="1"/>
  <c r="B42" i="1"/>
  <c r="B39" i="1"/>
  <c r="B37" i="1"/>
  <c r="B36" i="1"/>
  <c r="B35" i="1"/>
  <c r="A170" i="3"/>
  <c r="B45" i="3"/>
  <c r="A167" i="3" s="1"/>
  <c r="A112" i="3"/>
  <c r="A110" i="3"/>
  <c r="A116" i="3"/>
  <c r="A115" i="3"/>
  <c r="A114" i="3"/>
  <c r="A113" i="3"/>
  <c r="A108" i="3"/>
  <c r="B49" i="3"/>
  <c r="A96" i="3"/>
  <c r="A1" i="3"/>
  <c r="B26" i="3"/>
  <c r="B25" i="3"/>
  <c r="B54" i="3"/>
  <c r="B14" i="3"/>
  <c r="B13" i="3"/>
  <c r="B51" i="3"/>
  <c r="B47" i="3"/>
  <c r="B41" i="3"/>
  <c r="B40" i="3"/>
  <c r="B59" i="22723"/>
  <c r="B54" i="22723"/>
  <c r="B49" i="22723"/>
  <c r="B47" i="22723"/>
  <c r="B45" i="22723"/>
  <c r="B43" i="22723"/>
  <c r="B40" i="22723"/>
  <c r="B39" i="22723"/>
  <c r="DC29" i="22723"/>
  <c r="CV29" i="22723"/>
  <c r="CO29" i="22723"/>
  <c r="CH29" i="22723"/>
  <c r="CA29" i="22723"/>
  <c r="BT29" i="22723"/>
  <c r="BM29" i="22723"/>
  <c r="BF29" i="22723"/>
  <c r="AY29" i="22723"/>
  <c r="AR29" i="22723"/>
  <c r="AK29" i="22723"/>
  <c r="AD29" i="22723"/>
  <c r="W29" i="22723"/>
  <c r="P29" i="22723"/>
  <c r="I29" i="22723"/>
  <c r="B29" i="22723"/>
  <c r="DC28" i="22723"/>
  <c r="CV28" i="22723"/>
  <c r="CO28" i="22723"/>
  <c r="CH28" i="22723"/>
  <c r="CA28" i="22723"/>
  <c r="BT28" i="22723"/>
  <c r="BM28" i="22723"/>
  <c r="BF28" i="22723"/>
  <c r="AY28" i="22723"/>
  <c r="AR28" i="22723"/>
  <c r="AK28" i="22723"/>
  <c r="AD28" i="22723"/>
  <c r="W28" i="22723"/>
  <c r="P28" i="22723"/>
  <c r="I28" i="22723"/>
  <c r="B28" i="22723"/>
  <c r="DC15" i="22723"/>
  <c r="CV15" i="22723"/>
  <c r="CO15" i="22723"/>
  <c r="CH15" i="22723"/>
  <c r="CA15" i="22723"/>
  <c r="BT15" i="22723"/>
  <c r="BM15" i="22723"/>
  <c r="BF15" i="22723"/>
  <c r="AY15" i="22723"/>
  <c r="AR15" i="22723"/>
  <c r="AK15" i="22723"/>
  <c r="DC14" i="22723"/>
  <c r="CV14" i="22723"/>
  <c r="CO14" i="22723"/>
  <c r="CH14" i="22723"/>
  <c r="CA14" i="22723"/>
  <c r="BT14" i="22723"/>
  <c r="BM14" i="22723"/>
  <c r="BF14" i="22723"/>
  <c r="AY14" i="22723"/>
  <c r="AR14" i="22723"/>
  <c r="AK14" i="22723"/>
  <c r="B42" i="22714"/>
  <c r="B40" i="22714"/>
  <c r="B39" i="22714"/>
  <c r="B36" i="22714"/>
  <c r="B35" i="22714"/>
  <c r="B11" i="22714"/>
  <c r="B10" i="22714"/>
  <c r="A10" i="22714"/>
  <c r="B8" i="22714"/>
  <c r="F11" i="22714"/>
  <c r="F13" i="22714"/>
  <c r="F14" i="22714"/>
  <c r="K15" i="22714"/>
  <c r="K16" i="22714" s="1"/>
  <c r="J12" i="22714"/>
  <c r="K12" i="22714"/>
  <c r="A121" i="22725"/>
  <c r="A136" i="22725"/>
  <c r="A135" i="22725"/>
  <c r="A134" i="22725"/>
  <c r="A123" i="22725"/>
  <c r="A120" i="22725"/>
  <c r="A101" i="22725"/>
  <c r="A100" i="22725"/>
  <c r="A96" i="22725"/>
  <c r="A2" i="22725"/>
  <c r="B63" i="4"/>
  <c r="A2" i="4"/>
  <c r="I9" i="2"/>
  <c r="W9" i="2"/>
  <c r="AK9" i="2"/>
  <c r="AR9" i="2"/>
  <c r="BM9" i="2"/>
  <c r="CA9" i="2"/>
  <c r="CO9" i="2"/>
  <c r="DC9" i="2"/>
  <c r="CK64" i="2"/>
  <c r="CK61" i="2"/>
  <c r="BI62" i="2"/>
  <c r="E63" i="3"/>
  <c r="Z62" i="2"/>
  <c r="L64" i="2"/>
  <c r="M64" i="2" s="1"/>
  <c r="D175" i="4"/>
  <c r="D176" i="4"/>
  <c r="DF57" i="2"/>
  <c r="DG57" i="2" s="1"/>
  <c r="L58" i="2"/>
  <c r="BI65" i="2"/>
  <c r="DF58" i="2"/>
  <c r="E21" i="5"/>
  <c r="D155" i="16"/>
  <c r="Z65" i="2"/>
  <c r="D175" i="16"/>
  <c r="D36" i="1" s="1"/>
  <c r="D176" i="16"/>
  <c r="D39" i="1" s="1"/>
  <c r="CD62" i="2"/>
  <c r="CD64" i="2"/>
  <c r="E143" i="1"/>
  <c r="F143" i="1" s="1"/>
  <c r="BB62" i="2"/>
  <c r="AG62" i="2"/>
  <c r="E65" i="3"/>
  <c r="CY64" i="2"/>
  <c r="CY62" i="2"/>
  <c r="AU62" i="2"/>
  <c r="AU61" i="2"/>
  <c r="BB43" i="2"/>
  <c r="E43" i="2"/>
  <c r="DF65" i="2"/>
  <c r="Z38" i="2"/>
  <c r="AA38" i="2" s="1"/>
  <c r="S38" i="2"/>
  <c r="T38" i="2" s="1"/>
  <c r="AG38" i="2"/>
  <c r="AH38" i="2" s="1"/>
  <c r="E40" i="3"/>
  <c r="F40" i="3" s="1"/>
  <c r="AN38" i="2"/>
  <c r="AO38" i="2" s="1"/>
  <c r="AE67" i="2"/>
  <c r="BI58" i="2"/>
  <c r="CH9" i="2"/>
  <c r="AD9" i="2"/>
  <c r="BP67" i="2"/>
  <c r="DF67" i="2"/>
  <c r="E67" i="2"/>
  <c r="H183" i="16" l="1"/>
  <c r="C183" i="16" s="1"/>
  <c r="H182" i="16"/>
  <c r="C182" i="16" s="1"/>
  <c r="F14" i="2"/>
  <c r="C40" i="2"/>
  <c r="F40" i="2" s="1"/>
  <c r="BI49" i="2"/>
  <c r="BI50" i="2"/>
  <c r="BJ50" i="2" s="1"/>
  <c r="D70" i="22725"/>
  <c r="E35" i="22725"/>
  <c r="F35" i="22725" s="1"/>
  <c r="DC9" i="22723"/>
  <c r="CV9" i="22723"/>
  <c r="CO9" i="22723"/>
  <c r="CH9" i="22723"/>
  <c r="CA9" i="22723"/>
  <c r="BT9" i="22723"/>
  <c r="BM9" i="22723"/>
  <c r="BF9" i="22723"/>
  <c r="AY9" i="22723"/>
  <c r="AR9" i="22723"/>
  <c r="AK9" i="22723"/>
  <c r="AD9" i="22723"/>
  <c r="W9" i="22723"/>
  <c r="P9" i="22723"/>
  <c r="I9" i="22723"/>
  <c r="B15" i="22714"/>
  <c r="D29" i="22725"/>
  <c r="D31" i="22725"/>
  <c r="D30" i="22725"/>
  <c r="C67" i="22723"/>
  <c r="CI67" i="22723"/>
  <c r="BN67" i="22723"/>
  <c r="X67" i="22723"/>
  <c r="AS67" i="22723"/>
  <c r="AL67" i="22723"/>
  <c r="DD67" i="22723"/>
  <c r="CW67" i="22723"/>
  <c r="CP67" i="22723"/>
  <c r="CB67" i="22723"/>
  <c r="BU67" i="22723"/>
  <c r="BG67" i="22723"/>
  <c r="AZ67" i="22723"/>
  <c r="Q67" i="22723"/>
  <c r="J67" i="22723"/>
  <c r="AE67" i="22723"/>
  <c r="AG30" i="22723"/>
  <c r="E27" i="22725"/>
  <c r="F27" i="22725" s="1"/>
  <c r="S9" i="22723"/>
  <c r="E9" i="22723"/>
  <c r="L9" i="22723"/>
  <c r="CY9" i="22723"/>
  <c r="CD9" i="22723"/>
  <c r="BP9" i="22723"/>
  <c r="AU9" i="22723"/>
  <c r="Z9" i="22723"/>
  <c r="CR9" i="22723"/>
  <c r="BW9" i="22723"/>
  <c r="BB9" i="22723"/>
  <c r="AG9" i="22723"/>
  <c r="DF9" i="22723"/>
  <c r="CK9" i="22723"/>
  <c r="BI9" i="22723"/>
  <c r="AN9" i="22723"/>
  <c r="DF66" i="22723"/>
  <c r="DG66" i="22723" s="1"/>
  <c r="CY66" i="22723"/>
  <c r="CZ66" i="22723" s="1"/>
  <c r="CR66" i="22723"/>
  <c r="CS66" i="22723" s="1"/>
  <c r="CD66" i="22723"/>
  <c r="CE66" i="22723" s="1"/>
  <c r="BW66" i="22723"/>
  <c r="BX66" i="22723" s="1"/>
  <c r="BI66" i="22723"/>
  <c r="BJ66" i="22723" s="1"/>
  <c r="BB66" i="22723"/>
  <c r="BC66" i="22723" s="1"/>
  <c r="L66" i="22723"/>
  <c r="M66" i="22723" s="1"/>
  <c r="AG66" i="22723"/>
  <c r="AH66" i="22723" s="1"/>
  <c r="S66" i="22723"/>
  <c r="T66" i="22723" s="1"/>
  <c r="AU66" i="22723"/>
  <c r="AV66" i="22723" s="1"/>
  <c r="AN66" i="22723"/>
  <c r="AO66" i="22723" s="1"/>
  <c r="E67" i="22725"/>
  <c r="F67" i="22725" s="1"/>
  <c r="B109" i="22725" s="1"/>
  <c r="BP66" i="22723"/>
  <c r="BQ66" i="22723" s="1"/>
  <c r="Z66" i="22723"/>
  <c r="AA66" i="22723" s="1"/>
  <c r="CK66" i="22723"/>
  <c r="CL66" i="22723" s="1"/>
  <c r="AA66" i="2"/>
  <c r="AA62" i="2"/>
  <c r="K58" i="2"/>
  <c r="D58" i="2"/>
  <c r="C17" i="2"/>
  <c r="E39" i="2"/>
  <c r="AG39" i="2"/>
  <c r="AH39" i="2" s="1"/>
  <c r="Z39" i="2"/>
  <c r="AA39" i="2" s="1"/>
  <c r="DF39" i="2"/>
  <c r="DG39" i="2" s="1"/>
  <c r="CY39" i="2"/>
  <c r="CZ39" i="2" s="1"/>
  <c r="CR39" i="2"/>
  <c r="CS39" i="2" s="1"/>
  <c r="CK39" i="2"/>
  <c r="CL39" i="2" s="1"/>
  <c r="CD39" i="2"/>
  <c r="CE39" i="2" s="1"/>
  <c r="BW39" i="2"/>
  <c r="BX39" i="2" s="1"/>
  <c r="BP39" i="2"/>
  <c r="BQ39" i="2" s="1"/>
  <c r="BI39" i="2"/>
  <c r="BJ39" i="2" s="1"/>
  <c r="AU39" i="2"/>
  <c r="AV39" i="2" s="1"/>
  <c r="AN39" i="2"/>
  <c r="AO39" i="2" s="1"/>
  <c r="BB39" i="2"/>
  <c r="BC39" i="2" s="1"/>
  <c r="S39" i="2"/>
  <c r="L39" i="2"/>
  <c r="Y58" i="2"/>
  <c r="R58" i="2"/>
  <c r="CZ47" i="2"/>
  <c r="AM58" i="2"/>
  <c r="AF58" i="2"/>
  <c r="AA65" i="2"/>
  <c r="Q39" i="2"/>
  <c r="Q17" i="2"/>
  <c r="J17" i="2"/>
  <c r="J39" i="2"/>
  <c r="B43" i="4"/>
  <c r="CK8" i="22723"/>
  <c r="BI8" i="22723"/>
  <c r="AG8" i="22723"/>
  <c r="CR8" i="22723"/>
  <c r="E8" i="22723"/>
  <c r="E22" i="22726" s="1"/>
  <c r="DF8" i="22723"/>
  <c r="CD8" i="22723"/>
  <c r="BB8" i="22723"/>
  <c r="Z8" i="22723"/>
  <c r="BP8" i="22723"/>
  <c r="CY8" i="22723"/>
  <c r="BW8" i="22723"/>
  <c r="AU8" i="22723"/>
  <c r="S8" i="22723"/>
  <c r="L8" i="22723"/>
  <c r="AN8" i="22723"/>
  <c r="AZ17" i="22723"/>
  <c r="AZ39" i="22723"/>
  <c r="CP17" i="22723"/>
  <c r="CP39" i="22723"/>
  <c r="CB17" i="22723"/>
  <c r="CB39" i="22723"/>
  <c r="BN17" i="22723"/>
  <c r="BN39" i="22723"/>
  <c r="DD17" i="22723"/>
  <c r="DD39" i="22723"/>
  <c r="BG17" i="22723"/>
  <c r="BG39" i="22723"/>
  <c r="AS17" i="22723"/>
  <c r="AS39" i="22723"/>
  <c r="CW17" i="22723"/>
  <c r="CW39" i="22723"/>
  <c r="CI17" i="22723"/>
  <c r="CI39" i="22723"/>
  <c r="BU17" i="22723"/>
  <c r="BU39" i="22723"/>
  <c r="AL17" i="22723"/>
  <c r="AL39" i="22723"/>
  <c r="D60" i="22723"/>
  <c r="D58" i="22723"/>
  <c r="L10" i="22714"/>
  <c r="L12" i="22714"/>
  <c r="K47" i="3"/>
  <c r="K42" i="3"/>
  <c r="B100" i="3"/>
  <c r="H96" i="22715" s="1"/>
  <c r="I96" i="22715" s="1"/>
  <c r="K49" i="3"/>
  <c r="C41" i="3"/>
  <c r="C16" i="3"/>
  <c r="F15" i="2"/>
  <c r="F14" i="3"/>
  <c r="CY10" i="2"/>
  <c r="CD10" i="2"/>
  <c r="BI10" i="2"/>
  <c r="AN10" i="2"/>
  <c r="AG10" i="2"/>
  <c r="AU10" i="2"/>
  <c r="E22" i="5"/>
  <c r="E10" i="2"/>
  <c r="CK10" i="2"/>
  <c r="L10" i="2"/>
  <c r="CR10" i="2"/>
  <c r="BW10" i="2"/>
  <c r="BP10" i="2"/>
  <c r="BB10" i="2"/>
  <c r="Z10" i="2"/>
  <c r="C59" i="16"/>
  <c r="BP49" i="2"/>
  <c r="BP47" i="2"/>
  <c r="BQ47" i="2" s="1"/>
  <c r="AG47" i="2"/>
  <c r="AH47" i="2" s="1"/>
  <c r="AU47" i="2"/>
  <c r="AV47" i="2" s="1"/>
  <c r="DH8" i="2"/>
  <c r="S47" i="2"/>
  <c r="T47" i="2" s="1"/>
  <c r="E47" i="2"/>
  <c r="F47" i="2" s="1"/>
  <c r="CR47" i="2"/>
  <c r="CS47" i="2" s="1"/>
  <c r="E49" i="3"/>
  <c r="F49" i="3" s="1"/>
  <c r="D29" i="3"/>
  <c r="D31" i="3"/>
  <c r="E53" i="3"/>
  <c r="F53" i="3" s="1"/>
  <c r="CY53" i="2"/>
  <c r="CZ53" i="2" s="1"/>
  <c r="CK53" i="2"/>
  <c r="CL53" i="2" s="1"/>
  <c r="BW53" i="2"/>
  <c r="BX53" i="2" s="1"/>
  <c r="BI53" i="2"/>
  <c r="BJ53" i="2" s="1"/>
  <c r="AU53" i="2"/>
  <c r="AV53" i="2" s="1"/>
  <c r="AG53" i="2"/>
  <c r="AH53" i="2" s="1"/>
  <c r="S53" i="2"/>
  <c r="T53" i="2" s="1"/>
  <c r="E53" i="2"/>
  <c r="F53" i="2" s="1"/>
  <c r="DF53" i="2"/>
  <c r="DG53" i="2" s="1"/>
  <c r="CR53" i="2"/>
  <c r="CS53" i="2" s="1"/>
  <c r="CD53" i="2"/>
  <c r="CE53" i="2" s="1"/>
  <c r="BP53" i="2"/>
  <c r="BQ53" i="2" s="1"/>
  <c r="BB53" i="2"/>
  <c r="BC53" i="2" s="1"/>
  <c r="AN53" i="2"/>
  <c r="AO53" i="2" s="1"/>
  <c r="Z53" i="2"/>
  <c r="AA53" i="2" s="1"/>
  <c r="L53" i="2"/>
  <c r="BI47" i="2"/>
  <c r="BJ47" i="2" s="1"/>
  <c r="L47" i="2"/>
  <c r="M47" i="2" s="1"/>
  <c r="CD47" i="2"/>
  <c r="CE47" i="2" s="1"/>
  <c r="BB47" i="2"/>
  <c r="BC47" i="2" s="1"/>
  <c r="DF47" i="2"/>
  <c r="DG47" i="2" s="1"/>
  <c r="S49" i="2"/>
  <c r="BP51" i="2"/>
  <c r="BQ51" i="2" s="1"/>
  <c r="S50" i="2"/>
  <c r="T50" i="2" s="1"/>
  <c r="BP50" i="2"/>
  <c r="BQ50" i="2" s="1"/>
  <c r="S51" i="2"/>
  <c r="T51" i="2" s="1"/>
  <c r="E52" i="3"/>
  <c r="F52" i="3" s="1"/>
  <c r="DF52" i="2"/>
  <c r="DG52" i="2" s="1"/>
  <c r="CR52" i="2"/>
  <c r="CS52" i="2" s="1"/>
  <c r="CD52" i="2"/>
  <c r="CE52" i="2" s="1"/>
  <c r="BP52" i="2"/>
  <c r="BQ52" i="2" s="1"/>
  <c r="BB52" i="2"/>
  <c r="BC52" i="2" s="1"/>
  <c r="AN52" i="2"/>
  <c r="AO52" i="2" s="1"/>
  <c r="Z52" i="2"/>
  <c r="AA52" i="2" s="1"/>
  <c r="L52" i="2"/>
  <c r="M52" i="2" s="1"/>
  <c r="E52" i="2"/>
  <c r="F52" i="2" s="1"/>
  <c r="CY52" i="2"/>
  <c r="CZ52" i="2" s="1"/>
  <c r="CK52" i="2"/>
  <c r="CL52" i="2" s="1"/>
  <c r="BW52" i="2"/>
  <c r="BX52" i="2" s="1"/>
  <c r="BI52" i="2"/>
  <c r="BJ52" i="2" s="1"/>
  <c r="AU52" i="2"/>
  <c r="AV52" i="2" s="1"/>
  <c r="AG52" i="2"/>
  <c r="AH52" i="2" s="1"/>
  <c r="S52" i="2"/>
  <c r="T52" i="2" s="1"/>
  <c r="C81" i="16"/>
  <c r="BW47" i="2"/>
  <c r="BX47" i="2" s="1"/>
  <c r="AN47" i="2"/>
  <c r="AO47" i="2" s="1"/>
  <c r="CK47" i="2"/>
  <c r="CL47" i="2" s="1"/>
  <c r="Z47" i="2"/>
  <c r="AA47" i="2" s="1"/>
  <c r="B59" i="16"/>
  <c r="C60" i="16"/>
  <c r="D42" i="1"/>
  <c r="E176" i="1"/>
  <c r="F176" i="1" s="1"/>
  <c r="E173" i="1"/>
  <c r="F173" i="1" s="1"/>
  <c r="E116" i="1"/>
  <c r="F116" i="1" s="1"/>
  <c r="E159" i="1"/>
  <c r="F159" i="1" s="1"/>
  <c r="E114" i="1"/>
  <c r="F114" i="1" s="1"/>
  <c r="E41" i="16"/>
  <c r="E56" i="16"/>
  <c r="E52" i="16"/>
  <c r="E48" i="16"/>
  <c r="E42" i="16"/>
  <c r="E55" i="16"/>
  <c r="E51" i="16"/>
  <c r="E47" i="16"/>
  <c r="E43" i="16"/>
  <c r="E50" i="16"/>
  <c r="E49" i="16"/>
  <c r="E46" i="16"/>
  <c r="E44" i="16"/>
  <c r="E53" i="16"/>
  <c r="E45" i="16"/>
  <c r="E54" i="16"/>
  <c r="F144" i="1"/>
  <c r="F12" i="22714"/>
  <c r="F16" i="1"/>
  <c r="B60" i="16"/>
  <c r="AG60" i="2"/>
  <c r="CR57" i="2"/>
  <c r="CS57" i="2" s="1"/>
  <c r="CD59" i="2"/>
  <c r="CE59" i="2" s="1"/>
  <c r="AG59" i="2"/>
  <c r="AH59" i="2" s="1"/>
  <c r="AN59" i="2"/>
  <c r="AO59" i="2" s="1"/>
  <c r="BP57" i="2"/>
  <c r="BQ57" i="2" s="1"/>
  <c r="E57" i="3"/>
  <c r="E57" i="2"/>
  <c r="S58" i="2"/>
  <c r="BP59" i="2"/>
  <c r="BQ59" i="2" s="1"/>
  <c r="CD60" i="2"/>
  <c r="DF60" i="2"/>
  <c r="E60" i="2"/>
  <c r="D50" i="1"/>
  <c r="E50" i="1" s="1"/>
  <c r="AU59" i="2"/>
  <c r="AV59" i="2" s="1"/>
  <c r="Z58" i="2"/>
  <c r="BP58" i="2"/>
  <c r="AG65" i="2"/>
  <c r="AH65" i="2" s="1"/>
  <c r="U9" i="2"/>
  <c r="S10" i="2" s="1"/>
  <c r="C82" i="16"/>
  <c r="BH10" i="2"/>
  <c r="BH8" i="2" s="1"/>
  <c r="BI45" i="2"/>
  <c r="BJ45" i="2" s="1"/>
  <c r="E45" i="2"/>
  <c r="F45" i="2" s="1"/>
  <c r="CK45" i="2"/>
  <c r="CL45" i="2" s="1"/>
  <c r="S45" i="2"/>
  <c r="T45" i="2" s="1"/>
  <c r="E51" i="3"/>
  <c r="B148" i="3" s="1"/>
  <c r="AN49" i="2"/>
  <c r="CD49" i="2"/>
  <c r="L49" i="2"/>
  <c r="Z49" i="2"/>
  <c r="E49" i="2"/>
  <c r="AG49" i="2"/>
  <c r="E134" i="1"/>
  <c r="F134" i="1" s="1"/>
  <c r="BB49" i="2"/>
  <c r="CR49" i="2"/>
  <c r="CK49" i="2"/>
  <c r="CY49" i="2"/>
  <c r="AU49" i="2"/>
  <c r="DF49" i="2"/>
  <c r="BW49" i="2"/>
  <c r="DF43" i="2"/>
  <c r="AG67" i="2"/>
  <c r="CD43" i="2"/>
  <c r="E41" i="3"/>
  <c r="BW43" i="2"/>
  <c r="AU64" i="2"/>
  <c r="AV64" i="2" s="1"/>
  <c r="CR43" i="2"/>
  <c r="DF61" i="2"/>
  <c r="BW61" i="2"/>
  <c r="BP64" i="2"/>
  <c r="BQ64" i="2" s="1"/>
  <c r="AL32" i="22723"/>
  <c r="E62" i="3"/>
  <c r="AU67" i="2"/>
  <c r="CK43" i="2"/>
  <c r="AG61" i="2"/>
  <c r="DF64" i="2"/>
  <c r="DG64" i="2" s="1"/>
  <c r="AN64" i="2"/>
  <c r="AO64" i="2" s="1"/>
  <c r="X32" i="22723"/>
  <c r="D81" i="16"/>
  <c r="AU43" i="2"/>
  <c r="CR62" i="2"/>
  <c r="CS62" i="2" s="1"/>
  <c r="E64" i="2"/>
  <c r="F64" i="2" s="1"/>
  <c r="CK62" i="2"/>
  <c r="CL62" i="2" s="1"/>
  <c r="S64" i="2"/>
  <c r="T64" i="2" s="1"/>
  <c r="AG64" i="2"/>
  <c r="AH64" i="2" s="1"/>
  <c r="F15" i="22714"/>
  <c r="E129" i="1"/>
  <c r="F129" i="1" s="1"/>
  <c r="AG43" i="2"/>
  <c r="CR64" i="2"/>
  <c r="CS64" i="2" s="1"/>
  <c r="Z61" i="2"/>
  <c r="AA61" i="2" s="1"/>
  <c r="DF62" i="2"/>
  <c r="DG62" i="2" s="1"/>
  <c r="S62" i="2"/>
  <c r="T62" i="2" s="1"/>
  <c r="E45" i="3"/>
  <c r="BB61" i="2"/>
  <c r="AN62" i="2"/>
  <c r="AO62" i="2" s="1"/>
  <c r="BW67" i="2"/>
  <c r="BI61" i="2"/>
  <c r="CD61" i="2"/>
  <c r="S43" i="2"/>
  <c r="Z43" i="2"/>
  <c r="CR61" i="2"/>
  <c r="F121" i="1"/>
  <c r="BI64" i="2"/>
  <c r="BJ64" i="2" s="1"/>
  <c r="D30" i="3"/>
  <c r="S67" i="2"/>
  <c r="BI43" i="2"/>
  <c r="BP62" i="2"/>
  <c r="BQ62" i="2" s="1"/>
  <c r="BN32" i="22723"/>
  <c r="E35" i="3"/>
  <c r="F35" i="3" s="1"/>
  <c r="AN43" i="2"/>
  <c r="BP43" i="2"/>
  <c r="AN67" i="2"/>
  <c r="F3" i="22715"/>
  <c r="D82" i="16"/>
  <c r="CY61" i="2"/>
  <c r="Z64" i="2"/>
  <c r="AA64" i="2" s="1"/>
  <c r="E128" i="1"/>
  <c r="F128" i="1" s="1"/>
  <c r="S61" i="2"/>
  <c r="E61" i="2"/>
  <c r="F61" i="2" s="1"/>
  <c r="BB64" i="2"/>
  <c r="BC64" i="2" s="1"/>
  <c r="BW64" i="2"/>
  <c r="BX64" i="2" s="1"/>
  <c r="BP61" i="2"/>
  <c r="CW32" i="22723"/>
  <c r="DD32" i="22723"/>
  <c r="F63" i="3"/>
  <c r="B110" i="3" s="1"/>
  <c r="BB67" i="2"/>
  <c r="DH9" i="2"/>
  <c r="CD67" i="2"/>
  <c r="BI67" i="2"/>
  <c r="AC28" i="22723"/>
  <c r="D75" i="22715"/>
  <c r="C75" i="22715" s="1"/>
  <c r="C30" i="4"/>
  <c r="AV62" i="2"/>
  <c r="BA60" i="2"/>
  <c r="B8" i="22725"/>
  <c r="C89" i="22725" s="1"/>
  <c r="B9" i="22723"/>
  <c r="BG32" i="22723"/>
  <c r="CI32" i="22723"/>
  <c r="AE32" i="22723"/>
  <c r="BU32" i="22723"/>
  <c r="J32" i="22723"/>
  <c r="D37" i="1"/>
  <c r="E37" i="1" s="1"/>
  <c r="BP45" i="2"/>
  <c r="BQ45" i="2" s="1"/>
  <c r="Z45" i="2"/>
  <c r="AA45" i="2" s="1"/>
  <c r="E47" i="3"/>
  <c r="F47" i="3" s="1"/>
  <c r="CD45" i="2"/>
  <c r="CE45" i="2" s="1"/>
  <c r="CR45" i="2"/>
  <c r="CS45" i="2" s="1"/>
  <c r="CY45" i="2"/>
  <c r="CZ45" i="2" s="1"/>
  <c r="BW45" i="2"/>
  <c r="BX45" i="2" s="1"/>
  <c r="AG45" i="2"/>
  <c r="AH45" i="2" s="1"/>
  <c r="DF45" i="2"/>
  <c r="DG45" i="2" s="1"/>
  <c r="AN45" i="2"/>
  <c r="AO45" i="2" s="1"/>
  <c r="AU45" i="2"/>
  <c r="AV45" i="2" s="1"/>
  <c r="BB45" i="2"/>
  <c r="BC45" i="2" s="1"/>
  <c r="L45" i="2"/>
  <c r="M45" i="2" s="1"/>
  <c r="BB57" i="2"/>
  <c r="BC57" i="2" s="1"/>
  <c r="DF59" i="2"/>
  <c r="DG59" i="2" s="1"/>
  <c r="AU58" i="2"/>
  <c r="BI60" i="2"/>
  <c r="AU65" i="2"/>
  <c r="AV65" i="2" s="1"/>
  <c r="CK58" i="2"/>
  <c r="E66" i="3"/>
  <c r="F66" i="3" s="1"/>
  <c r="B112" i="3" s="1"/>
  <c r="CY65" i="2"/>
  <c r="CZ65" i="2" s="1"/>
  <c r="BW60" i="2"/>
  <c r="BI59" i="2"/>
  <c r="BJ59" i="2" s="1"/>
  <c r="AU57" i="2"/>
  <c r="AV57" i="2" s="1"/>
  <c r="Z59" i="2"/>
  <c r="AA59" i="2" s="1"/>
  <c r="D47" i="1"/>
  <c r="CY59" i="2"/>
  <c r="CZ59" i="2" s="1"/>
  <c r="CK57" i="2"/>
  <c r="CL57" i="2" s="1"/>
  <c r="BB65" i="2"/>
  <c r="BC65" i="2" s="1"/>
  <c r="AG57" i="2"/>
  <c r="AH57" i="2" s="1"/>
  <c r="S57" i="2"/>
  <c r="E95" i="1"/>
  <c r="F95" i="1" s="1"/>
  <c r="D49" i="1"/>
  <c r="S59" i="2"/>
  <c r="T59" i="2" s="1"/>
  <c r="CY60" i="2"/>
  <c r="BB59" i="2"/>
  <c r="BC59" i="2" s="1"/>
  <c r="E65" i="2"/>
  <c r="F65" i="2" s="1"/>
  <c r="E147" i="1"/>
  <c r="F147" i="1" s="1"/>
  <c r="E58" i="3"/>
  <c r="CK65" i="2"/>
  <c r="CL65" i="2" s="1"/>
  <c r="Z60" i="2"/>
  <c r="CD58" i="2"/>
  <c r="CK59" i="2"/>
  <c r="CL59" i="2" s="1"/>
  <c r="AN58" i="2"/>
  <c r="BB60" i="2"/>
  <c r="CR60" i="2"/>
  <c r="BW58" i="2"/>
  <c r="BI57" i="2"/>
  <c r="BJ57" i="2" s="1"/>
  <c r="AN60" i="2"/>
  <c r="Z57" i="2"/>
  <c r="AA57" i="2" s="1"/>
  <c r="E148" i="1"/>
  <c r="F148" i="1" s="1"/>
  <c r="CY58" i="2"/>
  <c r="CD57" i="2"/>
  <c r="CE57" i="2" s="1"/>
  <c r="AU60" i="2"/>
  <c r="E60" i="3"/>
  <c r="L59" i="2"/>
  <c r="M59" i="2" s="1"/>
  <c r="D54" i="1"/>
  <c r="D48" i="1"/>
  <c r="E48" i="1" s="1"/>
  <c r="S60" i="2"/>
  <c r="CD65" i="2"/>
  <c r="CE65" i="2" s="1"/>
  <c r="AN65" i="2"/>
  <c r="AO65" i="2" s="1"/>
  <c r="E58" i="2"/>
  <c r="CY57" i="2"/>
  <c r="CZ57" i="2" s="1"/>
  <c r="BW65" i="2"/>
  <c r="BX65" i="2" s="1"/>
  <c r="L65" i="2"/>
  <c r="M65" i="2" s="1"/>
  <c r="BW59" i="2"/>
  <c r="BX59" i="2" s="1"/>
  <c r="D74" i="1"/>
  <c r="E74" i="1" s="1"/>
  <c r="CR59" i="2"/>
  <c r="CS59" i="2" s="1"/>
  <c r="CR58" i="2"/>
  <c r="AG58" i="2"/>
  <c r="D53" i="1"/>
  <c r="E53" i="1" s="1"/>
  <c r="D51" i="1"/>
  <c r="E51" i="1" s="1"/>
  <c r="CK60" i="2"/>
  <c r="BP65" i="2"/>
  <c r="BQ65" i="2" s="1"/>
  <c r="BB58" i="2"/>
  <c r="L60" i="2"/>
  <c r="CR65" i="2"/>
  <c r="CS65" i="2" s="1"/>
  <c r="BP60" i="2"/>
  <c r="AN57" i="2"/>
  <c r="AO57" i="2" s="1"/>
  <c r="E59" i="3"/>
  <c r="F59" i="3" s="1"/>
  <c r="B107" i="3" s="1"/>
  <c r="B121" i="3" s="1"/>
  <c r="H111" i="22715" s="1"/>
  <c r="E59" i="2"/>
  <c r="F59" i="2" s="1"/>
  <c r="D52" i="1"/>
  <c r="E52" i="1" s="1"/>
  <c r="E61" i="3"/>
  <c r="L57" i="2"/>
  <c r="S65" i="2"/>
  <c r="T65" i="2" s="1"/>
  <c r="BW57" i="2"/>
  <c r="BX57" i="2" s="1"/>
  <c r="B81" i="16"/>
  <c r="B82" i="16"/>
  <c r="J204" i="22715"/>
  <c r="DG66" i="2"/>
  <c r="AH15" i="2"/>
  <c r="M15" i="2"/>
  <c r="DA10" i="2"/>
  <c r="CT10" i="2"/>
  <c r="B2" i="16"/>
  <c r="CZ64" i="2"/>
  <c r="BX66" i="2"/>
  <c r="AV66" i="2"/>
  <c r="E40" i="1"/>
  <c r="D69" i="1"/>
  <c r="E69" i="1" s="1"/>
  <c r="N10" i="2"/>
  <c r="AW10" i="2"/>
  <c r="BV10" i="2"/>
  <c r="H37" i="5" s="1"/>
  <c r="I37" i="5" s="1"/>
  <c r="CZ62" i="2"/>
  <c r="C9" i="2"/>
  <c r="AH62" i="2"/>
  <c r="CZ66" i="2"/>
  <c r="CE66" i="2"/>
  <c r="CE62" i="2"/>
  <c r="BC66" i="2"/>
  <c r="BC62" i="2"/>
  <c r="AM60" i="2"/>
  <c r="AH66" i="2"/>
  <c r="F67" i="3"/>
  <c r="B109" i="3" s="1"/>
  <c r="Y60" i="2"/>
  <c r="AA60" i="2" s="1"/>
  <c r="T14" i="2"/>
  <c r="T66" i="2"/>
  <c r="R60" i="2"/>
  <c r="M14" i="2"/>
  <c r="G10" i="2"/>
  <c r="F66" i="2"/>
  <c r="M61" i="2"/>
  <c r="AP10" i="2"/>
  <c r="BK10" i="2"/>
  <c r="F133" i="1"/>
  <c r="AF60" i="2"/>
  <c r="CX60" i="2"/>
  <c r="C41" i="1"/>
  <c r="C42" i="1" s="1"/>
  <c r="DG65" i="2"/>
  <c r="F9" i="2"/>
  <c r="CQ60" i="2"/>
  <c r="AT60" i="2"/>
  <c r="K60" i="2"/>
  <c r="B22" i="22715"/>
  <c r="C22" i="22715" s="1"/>
  <c r="E21" i="1"/>
  <c r="BR10" i="2"/>
  <c r="T15" i="2"/>
  <c r="B1" i="22715"/>
  <c r="C1" i="5"/>
  <c r="CX10" i="2"/>
  <c r="CX67" i="2" s="1"/>
  <c r="CW44" i="2" s="1"/>
  <c r="CX43" i="2" s="1"/>
  <c r="B1" i="3"/>
  <c r="CL64" i="2"/>
  <c r="DE60" i="2"/>
  <c r="BJ65" i="2"/>
  <c r="M66" i="2"/>
  <c r="F115" i="1"/>
  <c r="CL66" i="2"/>
  <c r="CE64" i="2"/>
  <c r="CC60" i="2"/>
  <c r="BX62" i="2"/>
  <c r="BV60" i="2"/>
  <c r="BQ66" i="2"/>
  <c r="BJ66" i="2"/>
  <c r="BJ62" i="2"/>
  <c r="BH60" i="2"/>
  <c r="BY10" i="2"/>
  <c r="D60" i="3"/>
  <c r="CF10" i="2"/>
  <c r="BD10" i="2"/>
  <c r="AB10" i="2"/>
  <c r="AI10" i="2"/>
  <c r="BO60" i="2"/>
  <c r="E39" i="1"/>
  <c r="C54" i="1"/>
  <c r="E68" i="1"/>
  <c r="E36" i="1"/>
  <c r="D60" i="2"/>
  <c r="CM10" i="2"/>
  <c r="F65" i="3"/>
  <c r="B111" i="3" s="1"/>
  <c r="CJ60" i="2"/>
  <c r="AO66" i="2"/>
  <c r="C47" i="1"/>
  <c r="E35" i="1"/>
  <c r="C32" i="22723"/>
  <c r="CB32" i="22723"/>
  <c r="AZ32" i="22723"/>
  <c r="CS66" i="2"/>
  <c r="AV15" i="2"/>
  <c r="AH14" i="2"/>
  <c r="C47" i="22715"/>
  <c r="AA15" i="2"/>
  <c r="F48" i="3"/>
  <c r="AA14" i="2"/>
  <c r="F13" i="3"/>
  <c r="D70" i="4"/>
  <c r="AV14" i="2"/>
  <c r="CR30" i="22723"/>
  <c r="D76" i="4"/>
  <c r="E21" i="22714"/>
  <c r="B8" i="22723"/>
  <c r="B7" i="22725"/>
  <c r="C88" i="22725" s="1"/>
  <c r="D68" i="4"/>
  <c r="AQ28" i="22723"/>
  <c r="B45" i="4"/>
  <c r="B46" i="4"/>
  <c r="C69" i="4"/>
  <c r="AI9" i="22723" s="1"/>
  <c r="B42" i="4"/>
  <c r="C41" i="22714"/>
  <c r="C42" i="22714" s="1"/>
  <c r="D71" i="4"/>
  <c r="CD30" i="22723"/>
  <c r="H183" i="4"/>
  <c r="C183" i="4" s="1"/>
  <c r="C75" i="4"/>
  <c r="BY9" i="22723" s="1"/>
  <c r="D77" i="4"/>
  <c r="D79" i="4"/>
  <c r="D66" i="4"/>
  <c r="D80" i="4"/>
  <c r="D67" i="4"/>
  <c r="CG28" i="22723"/>
  <c r="DF30" i="22723"/>
  <c r="D73" i="4"/>
  <c r="D78" i="4"/>
  <c r="G9" i="22723"/>
  <c r="AJ28" i="22723"/>
  <c r="BL28" i="22723"/>
  <c r="O28" i="22723"/>
  <c r="C76" i="4"/>
  <c r="CF9" i="22723" s="1"/>
  <c r="C67" i="4"/>
  <c r="U9" i="22723" s="1"/>
  <c r="E66" i="22723"/>
  <c r="F66" i="22723" s="1"/>
  <c r="D55" i="22714"/>
  <c r="C71" i="4"/>
  <c r="AW9" i="22723" s="1"/>
  <c r="CU28" i="22723"/>
  <c r="C42" i="4"/>
  <c r="C70" i="4"/>
  <c r="AP9" i="22723" s="1"/>
  <c r="C66" i="4"/>
  <c r="N9" i="22723" s="1"/>
  <c r="BZ28" i="22723"/>
  <c r="DB28" i="22723"/>
  <c r="C47" i="4"/>
  <c r="C74" i="4"/>
  <c r="BR9" i="22723" s="1"/>
  <c r="AX28" i="22723"/>
  <c r="BE28" i="22723"/>
  <c r="BS28" i="22723"/>
  <c r="C72" i="4"/>
  <c r="BD9" i="22723" s="1"/>
  <c r="C1" i="22726"/>
  <c r="CN28" i="22723"/>
  <c r="C48" i="4"/>
  <c r="C44" i="4"/>
  <c r="C2" i="22726"/>
  <c r="B2" i="22725"/>
  <c r="C53" i="4"/>
  <c r="F22" i="22726"/>
  <c r="C52" i="4"/>
  <c r="C46" i="4"/>
  <c r="C50" i="4"/>
  <c r="C45" i="4"/>
  <c r="C51" i="4"/>
  <c r="C54" i="4"/>
  <c r="C55" i="4"/>
  <c r="E8" i="22725"/>
  <c r="C56" i="4"/>
  <c r="C49" i="4"/>
  <c r="C43" i="4"/>
  <c r="B67" i="4"/>
  <c r="U8" i="22723" s="1"/>
  <c r="B76" i="4"/>
  <c r="CF8" i="22723" s="1"/>
  <c r="B80" i="4"/>
  <c r="DH8" i="22723" s="1"/>
  <c r="B70" i="4"/>
  <c r="AP8" i="22723" s="1"/>
  <c r="B73" i="4"/>
  <c r="BK8" i="22723" s="1"/>
  <c r="C55" i="22714"/>
  <c r="C56" i="22714" s="1"/>
  <c r="C80" i="4"/>
  <c r="DH9" i="22723" s="1"/>
  <c r="E22" i="22714"/>
  <c r="AU30" i="22723"/>
  <c r="E30" i="22723"/>
  <c r="D74" i="4"/>
  <c r="D69" i="4"/>
  <c r="D72" i="4"/>
  <c r="D75" i="4"/>
  <c r="C77" i="4"/>
  <c r="CM9" i="22723" s="1"/>
  <c r="C78" i="4"/>
  <c r="CT9" i="22723" s="1"/>
  <c r="C68" i="4"/>
  <c r="AB9" i="22723" s="1"/>
  <c r="C79" i="4"/>
  <c r="DA9" i="22723" s="1"/>
  <c r="C31" i="4"/>
  <c r="C32" i="4"/>
  <c r="CP32" i="22723"/>
  <c r="Q32" i="22723"/>
  <c r="AN30" i="22723"/>
  <c r="Z30" i="22723"/>
  <c r="BP30" i="22723"/>
  <c r="CY30" i="22723"/>
  <c r="BW30" i="22723"/>
  <c r="BB30" i="22723"/>
  <c r="CK30" i="22723"/>
  <c r="S30" i="22723"/>
  <c r="BI30" i="22723"/>
  <c r="L30" i="22723"/>
  <c r="B48" i="4"/>
  <c r="B47" i="4"/>
  <c r="B54" i="4"/>
  <c r="E7" i="22725"/>
  <c r="B51" i="4"/>
  <c r="B78" i="4"/>
  <c r="CT8" i="22723" s="1"/>
  <c r="B66" i="4"/>
  <c r="G8" i="22723"/>
  <c r="B74" i="4"/>
  <c r="BR8" i="22723" s="1"/>
  <c r="B68" i="4"/>
  <c r="AB8" i="22723" s="1"/>
  <c r="B79" i="4"/>
  <c r="DA8" i="22723" s="1"/>
  <c r="B77" i="4"/>
  <c r="CM8" i="22723" s="1"/>
  <c r="B69" i="4"/>
  <c r="B75" i="4"/>
  <c r="BY8" i="22723" s="1"/>
  <c r="B71" i="4"/>
  <c r="AW8" i="22723" s="1"/>
  <c r="B72" i="4"/>
  <c r="BD8" i="22723" s="1"/>
  <c r="B44" i="4"/>
  <c r="B56" i="4"/>
  <c r="B53" i="4"/>
  <c r="B52" i="4"/>
  <c r="B49" i="4"/>
  <c r="B50" i="4"/>
  <c r="B55" i="4"/>
  <c r="A1" i="22726"/>
  <c r="A1" i="22714"/>
  <c r="A1" i="22725"/>
  <c r="L67" i="2"/>
  <c r="CK67" i="2"/>
  <c r="E62" i="2"/>
  <c r="F62" i="2" s="1"/>
  <c r="Z67" i="2"/>
  <c r="B32" i="2" l="1"/>
  <c r="I32" i="2"/>
  <c r="D57" i="2"/>
  <c r="F57" i="2" s="1"/>
  <c r="M17" i="2"/>
  <c r="AV17" i="2"/>
  <c r="E60" i="22725"/>
  <c r="F60" i="22725" s="1"/>
  <c r="B114" i="22725" s="1"/>
  <c r="CK60" i="22723"/>
  <c r="CL60" i="22723" s="1"/>
  <c r="CK58" i="22723"/>
  <c r="CL58" i="22723" s="1"/>
  <c r="BP57" i="22723"/>
  <c r="DF59" i="22723"/>
  <c r="DG59" i="22723" s="1"/>
  <c r="DF57" i="22723"/>
  <c r="CY59" i="22723"/>
  <c r="CZ59" i="22723" s="1"/>
  <c r="CY57" i="22723"/>
  <c r="CR59" i="22723"/>
  <c r="CS59" i="22723" s="1"/>
  <c r="CR57" i="22723"/>
  <c r="CD59" i="22723"/>
  <c r="CE59" i="22723" s="1"/>
  <c r="CD57" i="22723"/>
  <c r="BW59" i="22723"/>
  <c r="BX59" i="22723" s="1"/>
  <c r="BW57" i="22723"/>
  <c r="BI59" i="22723"/>
  <c r="BJ59" i="22723" s="1"/>
  <c r="BI57" i="22723"/>
  <c r="BB59" i="22723"/>
  <c r="BC59" i="22723" s="1"/>
  <c r="AG65" i="22723"/>
  <c r="AH65" i="22723" s="1"/>
  <c r="S65" i="22723"/>
  <c r="T65" i="22723" s="1"/>
  <c r="L60" i="22723"/>
  <c r="M60" i="22723" s="1"/>
  <c r="L57" i="22723"/>
  <c r="M57" i="22723" s="1"/>
  <c r="E66" i="22725"/>
  <c r="F66" i="22725" s="1"/>
  <c r="B112" i="22725" s="1"/>
  <c r="E58" i="22725"/>
  <c r="F58" i="22725" s="1"/>
  <c r="BP60" i="22723"/>
  <c r="BQ60" i="22723" s="1"/>
  <c r="BP58" i="22723"/>
  <c r="BQ58" i="22723" s="1"/>
  <c r="DF65" i="22723"/>
  <c r="DG65" i="22723" s="1"/>
  <c r="CY65" i="22723"/>
  <c r="CZ65" i="22723" s="1"/>
  <c r="CR65" i="22723"/>
  <c r="CS65" i="22723" s="1"/>
  <c r="CD65" i="22723"/>
  <c r="CE65" i="22723" s="1"/>
  <c r="BW65" i="22723"/>
  <c r="BX65" i="22723" s="1"/>
  <c r="BI65" i="22723"/>
  <c r="BJ65" i="22723" s="1"/>
  <c r="BB65" i="22723"/>
  <c r="BC65" i="22723" s="1"/>
  <c r="BB60" i="22723"/>
  <c r="BC60" i="22723" s="1"/>
  <c r="AU60" i="22723"/>
  <c r="AV60" i="22723" s="1"/>
  <c r="AU58" i="22723"/>
  <c r="AV58" i="22723" s="1"/>
  <c r="AN60" i="22723"/>
  <c r="AO60" i="22723" s="1"/>
  <c r="AN58" i="22723"/>
  <c r="AO58" i="22723" s="1"/>
  <c r="AG59" i="22723"/>
  <c r="AH59" i="22723" s="1"/>
  <c r="AG57" i="22723"/>
  <c r="AH57" i="22723" s="1"/>
  <c r="Z60" i="22723"/>
  <c r="AA60" i="22723" s="1"/>
  <c r="Z58" i="22723"/>
  <c r="AA58" i="22723" s="1"/>
  <c r="S60" i="22723"/>
  <c r="T60" i="22723" s="1"/>
  <c r="S58" i="22723"/>
  <c r="T58" i="22723" s="1"/>
  <c r="L65" i="22723"/>
  <c r="M65" i="22723" s="1"/>
  <c r="E182" i="22714"/>
  <c r="F182" i="22714" s="1"/>
  <c r="E147" i="22714"/>
  <c r="F147" i="22714" s="1"/>
  <c r="D74" i="22714"/>
  <c r="E74" i="22714" s="1"/>
  <c r="E61" i="22725"/>
  <c r="F61" i="22725" s="1"/>
  <c r="B108" i="22725" s="1"/>
  <c r="E57" i="22725"/>
  <c r="F57" i="22725" s="1"/>
  <c r="B115" i="22725" s="1"/>
  <c r="CK65" i="22723"/>
  <c r="CL65" i="22723" s="1"/>
  <c r="BP65" i="22723"/>
  <c r="BQ65" i="22723" s="1"/>
  <c r="BP59" i="22723"/>
  <c r="BQ59" i="22723" s="1"/>
  <c r="DF60" i="22723"/>
  <c r="DG60" i="22723" s="1"/>
  <c r="DF58" i="22723"/>
  <c r="DG58" i="22723" s="1"/>
  <c r="CY60" i="22723"/>
  <c r="CZ60" i="22723" s="1"/>
  <c r="CY58" i="22723"/>
  <c r="CZ58" i="22723" s="1"/>
  <c r="CR60" i="22723"/>
  <c r="CS60" i="22723" s="1"/>
  <c r="CR58" i="22723"/>
  <c r="CS58" i="22723" s="1"/>
  <c r="CD60" i="22723"/>
  <c r="CE60" i="22723" s="1"/>
  <c r="CD58" i="22723"/>
  <c r="CE58" i="22723" s="1"/>
  <c r="BW60" i="22723"/>
  <c r="BX60" i="22723" s="1"/>
  <c r="BW58" i="22723"/>
  <c r="BX58" i="22723" s="1"/>
  <c r="BI60" i="22723"/>
  <c r="BJ60" i="22723" s="1"/>
  <c r="BI58" i="22723"/>
  <c r="BJ58" i="22723" s="1"/>
  <c r="BB58" i="22723"/>
  <c r="BC58" i="22723" s="1"/>
  <c r="AU59" i="22723"/>
  <c r="AV59" i="22723" s="1"/>
  <c r="AU57" i="22723"/>
  <c r="AN59" i="22723"/>
  <c r="AO59" i="22723" s="1"/>
  <c r="AN57" i="22723"/>
  <c r="Z65" i="22723"/>
  <c r="AA65" i="22723" s="1"/>
  <c r="CK59" i="22723"/>
  <c r="CL59" i="22723" s="1"/>
  <c r="AN65" i="22723"/>
  <c r="AO65" i="22723" s="1"/>
  <c r="AG58" i="22723"/>
  <c r="AH58" i="22723" s="1"/>
  <c r="Z57" i="22723"/>
  <c r="AA57" i="22723" s="1"/>
  <c r="S59" i="22723"/>
  <c r="T59" i="22723" s="1"/>
  <c r="E181" i="22714"/>
  <c r="F181" i="22714" s="1"/>
  <c r="E121" i="22714"/>
  <c r="F121" i="22714" s="1"/>
  <c r="AG60" i="22723"/>
  <c r="AH60" i="22723" s="1"/>
  <c r="Z59" i="22723"/>
  <c r="AA59" i="22723" s="1"/>
  <c r="L59" i="22723"/>
  <c r="M59" i="22723" s="1"/>
  <c r="E164" i="22714"/>
  <c r="F164" i="22714" s="1"/>
  <c r="E95" i="22714"/>
  <c r="F95" i="22714" s="1"/>
  <c r="BB57" i="22723"/>
  <c r="S57" i="22723"/>
  <c r="T57" i="22723" s="1"/>
  <c r="CK57" i="22723"/>
  <c r="E122" i="22714"/>
  <c r="F122" i="22714" s="1"/>
  <c r="E59" i="22725"/>
  <c r="F59" i="22725" s="1"/>
  <c r="B107" i="22725" s="1"/>
  <c r="B121" i="22725" s="1"/>
  <c r="J111" i="22715" s="1"/>
  <c r="I111" i="22715" s="1"/>
  <c r="E148" i="22714"/>
  <c r="F148" i="22714" s="1"/>
  <c r="AU65" i="22723"/>
  <c r="AV65" i="22723" s="1"/>
  <c r="L58" i="22723"/>
  <c r="M58" i="22723" s="1"/>
  <c r="AD32" i="22723"/>
  <c r="AH32" i="22723" s="1"/>
  <c r="B34" i="22725"/>
  <c r="F34" i="22725" s="1"/>
  <c r="G7" i="3"/>
  <c r="B10" i="22715"/>
  <c r="C10" i="22715" s="1"/>
  <c r="T39" i="2"/>
  <c r="R57" i="2"/>
  <c r="AA17" i="2"/>
  <c r="G8" i="3"/>
  <c r="G9" i="3" s="1"/>
  <c r="B11" i="22715"/>
  <c r="C11" i="22715" s="1"/>
  <c r="K57" i="2"/>
  <c r="M39" i="2"/>
  <c r="AA58" i="2"/>
  <c r="AH17" i="2"/>
  <c r="CZ43" i="2"/>
  <c r="CX48" i="2"/>
  <c r="C62" i="3"/>
  <c r="B14" i="22715"/>
  <c r="C14" i="22715" s="1"/>
  <c r="T17" i="2"/>
  <c r="E41" i="1"/>
  <c r="CJ57" i="22723"/>
  <c r="AT57" i="22723"/>
  <c r="DE57" i="22723"/>
  <c r="BO57" i="22723"/>
  <c r="CQ57" i="22723"/>
  <c r="E63" i="22725"/>
  <c r="F63" i="22725" s="1"/>
  <c r="B110" i="22725" s="1"/>
  <c r="CK67" i="22723"/>
  <c r="CK64" i="22723"/>
  <c r="CL64" i="22723" s="1"/>
  <c r="CK62" i="22723"/>
  <c r="CL62" i="22723" s="1"/>
  <c r="BP62" i="22723"/>
  <c r="BQ62" i="22723" s="1"/>
  <c r="BP63" i="22723"/>
  <c r="DF63" i="22723"/>
  <c r="DG63" i="22723" s="1"/>
  <c r="DF61" i="22723"/>
  <c r="DG61" i="22723" s="1"/>
  <c r="CY63" i="22723"/>
  <c r="CZ63" i="22723" s="1"/>
  <c r="CY61" i="22723"/>
  <c r="CZ61" i="22723" s="1"/>
  <c r="CR63" i="22723"/>
  <c r="CS63" i="22723" s="1"/>
  <c r="CR61" i="22723"/>
  <c r="CS61" i="22723" s="1"/>
  <c r="CD63" i="22723"/>
  <c r="CE63" i="22723" s="1"/>
  <c r="CD61" i="22723"/>
  <c r="CE61" i="22723" s="1"/>
  <c r="BW63" i="22723"/>
  <c r="BX63" i="22723" s="1"/>
  <c r="BW61" i="22723"/>
  <c r="BX61" i="22723" s="1"/>
  <c r="BI63" i="22723"/>
  <c r="BJ63" i="22723" s="1"/>
  <c r="BI61" i="22723"/>
  <c r="BJ61" i="22723" s="1"/>
  <c r="AU63" i="22723"/>
  <c r="AV63" i="22723" s="1"/>
  <c r="AU61" i="22723"/>
  <c r="AV61" i="22723" s="1"/>
  <c r="AN63" i="22723"/>
  <c r="AO63" i="22723" s="1"/>
  <c r="AN61" i="22723"/>
  <c r="AO61" i="22723" s="1"/>
  <c r="AG67" i="22723"/>
  <c r="AG64" i="22723"/>
  <c r="AH64" i="22723" s="1"/>
  <c r="AG62" i="22723"/>
  <c r="AH62" i="22723" s="1"/>
  <c r="Z61" i="22723"/>
  <c r="AA61" i="22723" s="1"/>
  <c r="L61" i="22723"/>
  <c r="M61" i="22723" s="1"/>
  <c r="E61" i="22723"/>
  <c r="E129" i="22714"/>
  <c r="F129" i="22714" s="1"/>
  <c r="E62" i="22725"/>
  <c r="BP61" i="22723"/>
  <c r="BQ61" i="22723" s="1"/>
  <c r="BB67" i="22723"/>
  <c r="BB64" i="22723"/>
  <c r="BC64" i="22723" s="1"/>
  <c r="BB61" i="22723"/>
  <c r="BC61" i="22723" s="1"/>
  <c r="S64" i="22723"/>
  <c r="T64" i="22723" s="1"/>
  <c r="L64" i="22723"/>
  <c r="M64" i="22723" s="1"/>
  <c r="E65" i="22725"/>
  <c r="F65" i="22725" s="1"/>
  <c r="B111" i="22725" s="1"/>
  <c r="CK63" i="22723"/>
  <c r="CL63" i="22723" s="1"/>
  <c r="CK61" i="22723"/>
  <c r="CL61" i="22723" s="1"/>
  <c r="BB62" i="22723"/>
  <c r="BC62" i="22723" s="1"/>
  <c r="BP67" i="22723"/>
  <c r="DF67" i="22723"/>
  <c r="DF64" i="22723"/>
  <c r="DG64" i="22723" s="1"/>
  <c r="DF62" i="22723"/>
  <c r="DG62" i="22723" s="1"/>
  <c r="CY67" i="22723"/>
  <c r="CY64" i="22723"/>
  <c r="CZ64" i="22723" s="1"/>
  <c r="CY62" i="22723"/>
  <c r="CZ62" i="22723" s="1"/>
  <c r="CR67" i="22723"/>
  <c r="CR64" i="22723"/>
  <c r="CS64" i="22723" s="1"/>
  <c r="CR62" i="22723"/>
  <c r="CS62" i="22723" s="1"/>
  <c r="CD67" i="22723"/>
  <c r="CD64" i="22723"/>
  <c r="CE64" i="22723" s="1"/>
  <c r="CD62" i="22723"/>
  <c r="CE62" i="22723" s="1"/>
  <c r="BW67" i="22723"/>
  <c r="BW64" i="22723"/>
  <c r="BX64" i="22723" s="1"/>
  <c r="BW62" i="22723"/>
  <c r="BX62" i="22723" s="1"/>
  <c r="BI67" i="22723"/>
  <c r="BI64" i="22723"/>
  <c r="BJ64" i="22723" s="1"/>
  <c r="BI62" i="22723"/>
  <c r="BJ62" i="22723" s="1"/>
  <c r="AU67" i="22723"/>
  <c r="AU64" i="22723"/>
  <c r="AV64" i="22723" s="1"/>
  <c r="AU62" i="22723"/>
  <c r="AV62" i="22723" s="1"/>
  <c r="AN67" i="22723"/>
  <c r="AN64" i="22723"/>
  <c r="AO64" i="22723" s="1"/>
  <c r="AN62" i="22723"/>
  <c r="AO62" i="22723" s="1"/>
  <c r="AG63" i="22723"/>
  <c r="AH63" i="22723" s="1"/>
  <c r="AG61" i="22723"/>
  <c r="AH61" i="22723" s="1"/>
  <c r="Z67" i="22723"/>
  <c r="Z64" i="22723"/>
  <c r="AA64" i="22723" s="1"/>
  <c r="S63" i="22723"/>
  <c r="T63" i="22723" s="1"/>
  <c r="L63" i="22723"/>
  <c r="M63" i="22723" s="1"/>
  <c r="E63" i="22723"/>
  <c r="F63" i="22723" s="1"/>
  <c r="E64" i="22725"/>
  <c r="F64" i="22725" s="1"/>
  <c r="BP64" i="22723"/>
  <c r="BQ64" i="22723" s="1"/>
  <c r="BB63" i="22723"/>
  <c r="BC63" i="22723" s="1"/>
  <c r="Z63" i="22723"/>
  <c r="AA63" i="22723" s="1"/>
  <c r="S67" i="22723"/>
  <c r="S61" i="22723"/>
  <c r="T61" i="22723" s="1"/>
  <c r="L67" i="22723"/>
  <c r="L62" i="22723"/>
  <c r="M62" i="22723" s="1"/>
  <c r="E62" i="22723"/>
  <c r="E143" i="22714"/>
  <c r="F143" i="22714" s="1"/>
  <c r="F144" i="22714" s="1"/>
  <c r="E128" i="22714"/>
  <c r="F128" i="22714" s="1"/>
  <c r="BV57" i="22723"/>
  <c r="CX57" i="22723"/>
  <c r="BA57" i="22723"/>
  <c r="AM57" i="22723"/>
  <c r="BH57" i="22723"/>
  <c r="CC57" i="22723"/>
  <c r="E10" i="22723"/>
  <c r="BW10" i="22723"/>
  <c r="CR10" i="22723"/>
  <c r="BI10" i="22723"/>
  <c r="S10" i="22723"/>
  <c r="CY10" i="22723"/>
  <c r="CD10" i="22723"/>
  <c r="Z10" i="22723"/>
  <c r="BP10" i="22723"/>
  <c r="AN10" i="22723"/>
  <c r="AU10" i="22723"/>
  <c r="BB10" i="22723"/>
  <c r="CK10" i="22723"/>
  <c r="DF10" i="22723"/>
  <c r="D57" i="3"/>
  <c r="F57" i="3" s="1"/>
  <c r="B115" i="3" s="1"/>
  <c r="F41" i="3"/>
  <c r="K41" i="3"/>
  <c r="E42" i="1"/>
  <c r="DF10" i="2"/>
  <c r="AH60" i="2"/>
  <c r="E59" i="16"/>
  <c r="F178" i="1"/>
  <c r="F161" i="1"/>
  <c r="I120" i="1"/>
  <c r="T60" i="2"/>
  <c r="AM10" i="2"/>
  <c r="AM8" i="2" s="1"/>
  <c r="AL8" i="2" s="1"/>
  <c r="D59" i="16"/>
  <c r="F118" i="1"/>
  <c r="F123" i="1" s="1"/>
  <c r="E71" i="1"/>
  <c r="U10" i="2"/>
  <c r="DG60" i="2"/>
  <c r="F96" i="1"/>
  <c r="E101" i="1" s="1"/>
  <c r="C55" i="1"/>
  <c r="E55" i="1" s="1"/>
  <c r="F135" i="1"/>
  <c r="F131" i="1"/>
  <c r="F60" i="2"/>
  <c r="BH67" i="2"/>
  <c r="BG44" i="2" s="1"/>
  <c r="BH43" i="2" s="1"/>
  <c r="H35" i="5"/>
  <c r="I35" i="5" s="1"/>
  <c r="CZ60" i="2"/>
  <c r="B28" i="22715"/>
  <c r="C28" i="22715" s="1"/>
  <c r="BH9" i="2"/>
  <c r="E32" i="1"/>
  <c r="E33" i="1" s="1"/>
  <c r="CE60" i="2"/>
  <c r="BJ30" i="2"/>
  <c r="F149" i="1"/>
  <c r="F150" i="1" s="1"/>
  <c r="F60" i="3"/>
  <c r="B114" i="3" s="1"/>
  <c r="AH58" i="2"/>
  <c r="AV60" i="2"/>
  <c r="CX9" i="2"/>
  <c r="CZ29" i="2" s="1"/>
  <c r="BV9" i="2"/>
  <c r="DH10" i="2"/>
  <c r="F61" i="3"/>
  <c r="B108" i="3" s="1"/>
  <c r="CL60" i="2"/>
  <c r="F58" i="2"/>
  <c r="BX60" i="2"/>
  <c r="M60" i="2"/>
  <c r="CS60" i="2"/>
  <c r="E58" i="22723"/>
  <c r="F58" i="22723" s="1"/>
  <c r="P32" i="22723"/>
  <c r="T32" i="22723" s="1"/>
  <c r="CO32" i="22723"/>
  <c r="CS32" i="22723" s="1"/>
  <c r="AO58" i="2"/>
  <c r="AV58" i="2"/>
  <c r="CZ67" i="2"/>
  <c r="BC60" i="2"/>
  <c r="BQ60" i="2"/>
  <c r="AO60" i="2"/>
  <c r="E49" i="1"/>
  <c r="E54" i="1"/>
  <c r="BJ60" i="2"/>
  <c r="H204" i="22715"/>
  <c r="H211" i="22715"/>
  <c r="B145" i="3"/>
  <c r="CL61" i="2"/>
  <c r="CL58" i="2"/>
  <c r="CX8" i="2"/>
  <c r="CW8" i="2" s="1"/>
  <c r="T58" i="2"/>
  <c r="CZ30" i="2"/>
  <c r="T61" i="2"/>
  <c r="H41" i="5"/>
  <c r="I41" i="5" s="1"/>
  <c r="BX30" i="2"/>
  <c r="BV8" i="2"/>
  <c r="BU8" i="2" s="1"/>
  <c r="BC58" i="2"/>
  <c r="BV67" i="2"/>
  <c r="BX67" i="2" s="1"/>
  <c r="F58" i="3"/>
  <c r="DG58" i="2"/>
  <c r="BX58" i="2"/>
  <c r="CE58" i="2"/>
  <c r="E47" i="1"/>
  <c r="M58" i="2"/>
  <c r="BQ61" i="2"/>
  <c r="CC10" i="2"/>
  <c r="CJ10" i="2"/>
  <c r="R10" i="2"/>
  <c r="CQ10" i="2"/>
  <c r="BQ58" i="2"/>
  <c r="BM32" i="2"/>
  <c r="BQ32" i="2" s="1"/>
  <c r="AD32" i="2"/>
  <c r="AH32" i="2" s="1"/>
  <c r="BF32" i="2"/>
  <c r="BJ32" i="2" s="1"/>
  <c r="BT32" i="2"/>
  <c r="BX32" i="2" s="1"/>
  <c r="P32" i="2"/>
  <c r="T32" i="2" s="1"/>
  <c r="B34" i="3"/>
  <c r="F34" i="3" s="1"/>
  <c r="AR32" i="2"/>
  <c r="AV32" i="2" s="1"/>
  <c r="F32" i="2"/>
  <c r="DC32" i="2"/>
  <c r="DG32" i="2" s="1"/>
  <c r="AY32" i="2"/>
  <c r="BC32" i="2" s="1"/>
  <c r="CH32" i="2"/>
  <c r="CL32" i="2" s="1"/>
  <c r="CO32" i="2"/>
  <c r="CS32" i="2" s="1"/>
  <c r="AK32" i="2"/>
  <c r="AO32" i="2" s="1"/>
  <c r="M32" i="2"/>
  <c r="W32" i="2"/>
  <c r="AA32" i="2" s="1"/>
  <c r="CA32" i="2"/>
  <c r="CE32" i="2" s="1"/>
  <c r="CV32" i="2"/>
  <c r="CZ32" i="2" s="1"/>
  <c r="AF10" i="2"/>
  <c r="K10" i="2"/>
  <c r="BO10" i="2"/>
  <c r="D10" i="2"/>
  <c r="F30" i="2" s="1"/>
  <c r="BJ8" i="2"/>
  <c r="BG8" i="2"/>
  <c r="T57" i="2"/>
  <c r="BA10" i="2"/>
  <c r="BA67" i="2" s="1"/>
  <c r="DE10" i="2"/>
  <c r="AT10" i="2"/>
  <c r="CH32" i="22723"/>
  <c r="CL32" i="22723" s="1"/>
  <c r="D50" i="22714"/>
  <c r="E50" i="22714" s="1"/>
  <c r="E65" i="22723"/>
  <c r="F65" i="22723" s="1"/>
  <c r="F61" i="22723"/>
  <c r="S62" i="22723"/>
  <c r="T62" i="22723" s="1"/>
  <c r="E55" i="22714"/>
  <c r="BM32" i="22723"/>
  <c r="BQ32" i="22723" s="1"/>
  <c r="D54" i="22714"/>
  <c r="E54" i="22714" s="1"/>
  <c r="BF32" i="22723"/>
  <c r="BJ32" i="22723" s="1"/>
  <c r="D47" i="22714"/>
  <c r="E47" i="22714" s="1"/>
  <c r="D52" i="22714"/>
  <c r="E52" i="22714" s="1"/>
  <c r="D53" i="22714"/>
  <c r="E53" i="22714" s="1"/>
  <c r="D48" i="22714"/>
  <c r="E48" i="22714" s="1"/>
  <c r="E64" i="22723"/>
  <c r="F64" i="22723" s="1"/>
  <c r="E67" i="22723"/>
  <c r="M32" i="22723"/>
  <c r="CV32" i="22723"/>
  <c r="CZ32" i="22723" s="1"/>
  <c r="CA32" i="22723"/>
  <c r="CE32" i="22723" s="1"/>
  <c r="D51" i="22714"/>
  <c r="E51" i="22714" s="1"/>
  <c r="BQ63" i="22723"/>
  <c r="Z62" i="22723"/>
  <c r="AA62" i="22723" s="1"/>
  <c r="E57" i="22723"/>
  <c r="F57" i="22723" s="1"/>
  <c r="F32" i="22723"/>
  <c r="AK32" i="22723"/>
  <c r="AO32" i="22723" s="1"/>
  <c r="AR32" i="22723"/>
  <c r="AV32" i="22723" s="1"/>
  <c r="AY32" i="22723"/>
  <c r="BC32" i="22723" s="1"/>
  <c r="E59" i="22723"/>
  <c r="F59" i="22723" s="1"/>
  <c r="D49" i="22714"/>
  <c r="E49" i="22714" s="1"/>
  <c r="F62" i="22723"/>
  <c r="DC32" i="22723"/>
  <c r="DG32" i="22723" s="1"/>
  <c r="DH10" i="22723"/>
  <c r="BT32" i="22723"/>
  <c r="BX32" i="22723" s="1"/>
  <c r="W32" i="22723"/>
  <c r="AA32" i="22723" s="1"/>
  <c r="D82" i="4"/>
  <c r="C82" i="4"/>
  <c r="C81" i="4"/>
  <c r="G8" i="22725" s="1"/>
  <c r="D8" i="22725" s="1"/>
  <c r="F26" i="22725" s="1"/>
  <c r="F28" i="22725" s="1"/>
  <c r="D81" i="4"/>
  <c r="C62" i="22725" s="1"/>
  <c r="D62" i="22725" s="1"/>
  <c r="D68" i="22725" s="1"/>
  <c r="E60" i="22723"/>
  <c r="F60" i="22723" s="1"/>
  <c r="B59" i="4"/>
  <c r="B60" i="4"/>
  <c r="AI8" i="22723"/>
  <c r="B81" i="4"/>
  <c r="G7" i="22725" s="1"/>
  <c r="D7" i="22725" s="1"/>
  <c r="N8" i="22723"/>
  <c r="B82" i="4"/>
  <c r="DA10" i="22723"/>
  <c r="G10" i="22723"/>
  <c r="AB10" i="22723"/>
  <c r="BR10" i="22723"/>
  <c r="U10" i="22723"/>
  <c r="BK10" i="22723"/>
  <c r="CT10" i="22723"/>
  <c r="AW10" i="22723"/>
  <c r="CM10" i="22723"/>
  <c r="AP10" i="22723"/>
  <c r="CF10" i="22723"/>
  <c r="BD10" i="22723"/>
  <c r="BY10" i="22723"/>
  <c r="AV61" i="2"/>
  <c r="BC61" i="2"/>
  <c r="AO61" i="2"/>
  <c r="CX49" i="2"/>
  <c r="CZ49" i="2" s="1"/>
  <c r="E9" i="3" l="1"/>
  <c r="I120" i="22714"/>
  <c r="D26" i="22714"/>
  <c r="E26" i="22714" s="1"/>
  <c r="D27" i="22714"/>
  <c r="E27" i="22714" s="1"/>
  <c r="D28" i="22714"/>
  <c r="E28" i="22714" s="1"/>
  <c r="F84" i="22725"/>
  <c r="F62" i="22725"/>
  <c r="B170" i="22725" s="1"/>
  <c r="B177" i="22725" s="1"/>
  <c r="J247" i="22715" s="1"/>
  <c r="D79" i="22715"/>
  <c r="C46" i="22725"/>
  <c r="D45" i="22725" s="1"/>
  <c r="K45" i="22725" s="1"/>
  <c r="B68" i="22725"/>
  <c r="B113" i="22725"/>
  <c r="B152" i="22725"/>
  <c r="B160" i="22725" s="1"/>
  <c r="J196" i="22715" s="1"/>
  <c r="F96" i="22714"/>
  <c r="F149" i="22714"/>
  <c r="F150" i="22714" s="1"/>
  <c r="E13" i="22725"/>
  <c r="F13" i="22725" s="1"/>
  <c r="E15" i="22725"/>
  <c r="F15" i="22725" s="1"/>
  <c r="E14" i="22725"/>
  <c r="F14" i="22725" s="1"/>
  <c r="BJ43" i="2"/>
  <c r="BJ48" i="2" s="1"/>
  <c r="BH48" i="2"/>
  <c r="E44" i="1"/>
  <c r="CE57" i="22723"/>
  <c r="AO57" i="22723"/>
  <c r="CZ57" i="22723"/>
  <c r="BQ57" i="22723"/>
  <c r="AV57" i="22723"/>
  <c r="BJ57" i="22723"/>
  <c r="BC57" i="22723"/>
  <c r="BX57" i="22723"/>
  <c r="F131" i="22714"/>
  <c r="CS57" i="22723"/>
  <c r="DG57" i="22723"/>
  <c r="CL57" i="22723"/>
  <c r="DF14" i="22723"/>
  <c r="DG14" i="22723" s="1"/>
  <c r="CR16" i="22723"/>
  <c r="CS16" i="22723" s="1"/>
  <c r="CK15" i="22723"/>
  <c r="CL15" i="22723" s="1"/>
  <c r="CD14" i="22723"/>
  <c r="CE14" i="22723" s="1"/>
  <c r="BP16" i="22723"/>
  <c r="BQ16" i="22723" s="1"/>
  <c r="BI15" i="22723"/>
  <c r="BJ15" i="22723" s="1"/>
  <c r="BB14" i="22723"/>
  <c r="BC14" i="22723" s="1"/>
  <c r="AN16" i="22723"/>
  <c r="AO16" i="22723" s="1"/>
  <c r="AG15" i="22723"/>
  <c r="AH15" i="22723" s="1"/>
  <c r="Z14" i="22723"/>
  <c r="AA14" i="22723" s="1"/>
  <c r="L16" i="22723"/>
  <c r="M16" i="22723" s="1"/>
  <c r="E15" i="22723"/>
  <c r="F15" i="22723" s="1"/>
  <c r="CY16" i="22723"/>
  <c r="CZ16" i="22723" s="1"/>
  <c r="CR15" i="22723"/>
  <c r="CS15" i="22723" s="1"/>
  <c r="CK14" i="22723"/>
  <c r="CL14" i="22723" s="1"/>
  <c r="BW16" i="22723"/>
  <c r="BX16" i="22723" s="1"/>
  <c r="BP15" i="22723"/>
  <c r="BQ15" i="22723" s="1"/>
  <c r="BI14" i="22723"/>
  <c r="BJ14" i="22723" s="1"/>
  <c r="AU16" i="22723"/>
  <c r="AV16" i="22723" s="1"/>
  <c r="AN15" i="22723"/>
  <c r="AO15" i="22723" s="1"/>
  <c r="AG14" i="22723"/>
  <c r="AH14" i="22723" s="1"/>
  <c r="S16" i="22723"/>
  <c r="T16" i="22723" s="1"/>
  <c r="L15" i="22723"/>
  <c r="M15" i="22723" s="1"/>
  <c r="E14" i="22723"/>
  <c r="F14" i="22723" s="1"/>
  <c r="CY14" i="22723"/>
  <c r="CZ14" i="22723" s="1"/>
  <c r="CD15" i="22723"/>
  <c r="CE15" i="22723" s="1"/>
  <c r="BI16" i="22723"/>
  <c r="BJ16" i="22723" s="1"/>
  <c r="AU14" i="22723"/>
  <c r="AV14" i="22723" s="1"/>
  <c r="Z15" i="22723"/>
  <c r="AA15" i="22723" s="1"/>
  <c r="E16" i="22723"/>
  <c r="F16" i="22723" s="1"/>
  <c r="AN14" i="22723"/>
  <c r="AO14" i="22723" s="1"/>
  <c r="AU15" i="22723"/>
  <c r="AV15" i="22723" s="1"/>
  <c r="DF16" i="22723"/>
  <c r="DG16" i="22723" s="1"/>
  <c r="CR14" i="22723"/>
  <c r="CS14" i="22723" s="1"/>
  <c r="BW15" i="22723"/>
  <c r="BX15" i="22723" s="1"/>
  <c r="BB16" i="22723"/>
  <c r="BC16" i="22723" s="1"/>
  <c r="S15" i="22723"/>
  <c r="T15" i="22723" s="1"/>
  <c r="BP14" i="22723"/>
  <c r="BQ14" i="22723" s="1"/>
  <c r="L14" i="22723"/>
  <c r="M14" i="22723" s="1"/>
  <c r="M17" i="22723" s="1"/>
  <c r="DF15" i="22723"/>
  <c r="DG15" i="22723" s="1"/>
  <c r="CK16" i="22723"/>
  <c r="CL16" i="22723" s="1"/>
  <c r="BW14" i="22723"/>
  <c r="BX14" i="22723" s="1"/>
  <c r="BB15" i="22723"/>
  <c r="BC15" i="22723" s="1"/>
  <c r="AG16" i="22723"/>
  <c r="AH16" i="22723" s="1"/>
  <c r="S14" i="22723"/>
  <c r="T14" i="22723" s="1"/>
  <c r="CY15" i="22723"/>
  <c r="CZ15" i="22723" s="1"/>
  <c r="CD16" i="22723"/>
  <c r="CE16" i="22723" s="1"/>
  <c r="Z16" i="22723"/>
  <c r="AA16" i="22723" s="1"/>
  <c r="E9" i="22725"/>
  <c r="F9" i="22725" s="1"/>
  <c r="L10" i="22723"/>
  <c r="AG10" i="22723"/>
  <c r="AO8" i="2"/>
  <c r="H32" i="5"/>
  <c r="I32" i="5" s="1"/>
  <c r="AO30" i="2"/>
  <c r="BX9" i="2"/>
  <c r="BX29" i="2"/>
  <c r="BX31" i="2" s="1"/>
  <c r="BX35" i="2" s="1"/>
  <c r="AM9" i="2"/>
  <c r="AO29" i="2" s="1"/>
  <c r="F165" i="1"/>
  <c r="G161" i="1" s="1"/>
  <c r="BJ9" i="2"/>
  <c r="BJ10" i="2" s="1"/>
  <c r="BJ12" i="2" s="1"/>
  <c r="BJ74" i="2" s="1"/>
  <c r="BJ29" i="2"/>
  <c r="BJ31" i="2" s="1"/>
  <c r="BJ35" i="2" s="1"/>
  <c r="F183" i="1"/>
  <c r="G178" i="1" s="1"/>
  <c r="AM67" i="2"/>
  <c r="AK68" i="2" s="1"/>
  <c r="E75" i="1"/>
  <c r="E76" i="1" s="1"/>
  <c r="I118" i="1"/>
  <c r="I121" i="1" s="1"/>
  <c r="G117" i="1"/>
  <c r="G116" i="1"/>
  <c r="G122" i="1"/>
  <c r="G82" i="1"/>
  <c r="G106" i="1"/>
  <c r="G107" i="1"/>
  <c r="G83" i="1"/>
  <c r="G86" i="1"/>
  <c r="G96" i="1"/>
  <c r="G95" i="1"/>
  <c r="G84" i="1"/>
  <c r="G121" i="1"/>
  <c r="G109" i="1"/>
  <c r="G111" i="1"/>
  <c r="G118" i="1"/>
  <c r="G108" i="1"/>
  <c r="G114" i="1"/>
  <c r="G110" i="1"/>
  <c r="G115" i="1"/>
  <c r="G123" i="1"/>
  <c r="F136" i="1"/>
  <c r="BJ67" i="2"/>
  <c r="BH49" i="2"/>
  <c r="BJ49" i="2" s="1"/>
  <c r="BG9" i="2"/>
  <c r="CW9" i="2"/>
  <c r="BX8" i="2"/>
  <c r="CZ8" i="2"/>
  <c r="CZ9" i="2"/>
  <c r="BU9" i="2"/>
  <c r="B149" i="3"/>
  <c r="B159" i="3" s="1"/>
  <c r="H195" i="22715" s="1"/>
  <c r="CZ31" i="2"/>
  <c r="CZ35" i="2" s="1"/>
  <c r="BU44" i="2"/>
  <c r="BV43" i="2" s="1"/>
  <c r="C56" i="1"/>
  <c r="BV68" i="2"/>
  <c r="M57" i="2"/>
  <c r="R9" i="2"/>
  <c r="T29" i="2" s="1"/>
  <c r="R67" i="2"/>
  <c r="R68" i="2" s="1"/>
  <c r="H29" i="5"/>
  <c r="I29" i="5" s="1"/>
  <c r="T30" i="2"/>
  <c r="R8" i="2"/>
  <c r="DG30" i="2"/>
  <c r="H42" i="5"/>
  <c r="I42" i="5" s="1"/>
  <c r="DE67" i="2"/>
  <c r="DC68" i="2" s="1"/>
  <c r="DE9" i="2"/>
  <c r="DG29" i="2" s="1"/>
  <c r="DE8" i="2"/>
  <c r="F31" i="2"/>
  <c r="F35" i="2" s="1"/>
  <c r="D67" i="2"/>
  <c r="H27" i="5"/>
  <c r="I27" i="5" s="1"/>
  <c r="D8" i="2"/>
  <c r="H36" i="5"/>
  <c r="I36" i="5" s="1"/>
  <c r="BQ30" i="2"/>
  <c r="BO67" i="2"/>
  <c r="BO8" i="2"/>
  <c r="BO9" i="2"/>
  <c r="BQ29" i="2" s="1"/>
  <c r="B12" i="22715"/>
  <c r="C12" i="22715" s="1"/>
  <c r="D49" i="4" s="1"/>
  <c r="BH10" i="22723" s="1"/>
  <c r="D9" i="3"/>
  <c r="F27" i="3" s="1"/>
  <c r="CQ9" i="2"/>
  <c r="CS29" i="2" s="1"/>
  <c r="CQ8" i="2"/>
  <c r="CQ67" i="2"/>
  <c r="CO68" i="2" s="1"/>
  <c r="H40" i="5"/>
  <c r="I40" i="5" s="1"/>
  <c r="CS30" i="2"/>
  <c r="CL30" i="2"/>
  <c r="CJ8" i="2"/>
  <c r="CJ67" i="2"/>
  <c r="H39" i="5"/>
  <c r="I39" i="5" s="1"/>
  <c r="CJ9" i="2"/>
  <c r="CL29" i="2" s="1"/>
  <c r="AH30" i="2"/>
  <c r="AF67" i="2"/>
  <c r="AD68" i="2" s="1"/>
  <c r="H31" i="5"/>
  <c r="I31" i="5" s="1"/>
  <c r="AF8" i="2"/>
  <c r="AF9" i="2"/>
  <c r="AH29" i="2" s="1"/>
  <c r="E56" i="1"/>
  <c r="C26" i="22715"/>
  <c r="H33" i="5"/>
  <c r="I33" i="5" s="1"/>
  <c r="AT8" i="2"/>
  <c r="AV30" i="2"/>
  <c r="AT9" i="2"/>
  <c r="AV29" i="2" s="1"/>
  <c r="AT67" i="2"/>
  <c r="BC30" i="2"/>
  <c r="H34" i="5"/>
  <c r="I34" i="5" s="1"/>
  <c r="BA8" i="2"/>
  <c r="BA9" i="2"/>
  <c r="BC29" i="2" s="1"/>
  <c r="H28" i="5"/>
  <c r="I28" i="5" s="1"/>
  <c r="K9" i="2"/>
  <c r="M29" i="2" s="1"/>
  <c r="K67" i="2"/>
  <c r="K68" i="2" s="1"/>
  <c r="M30" i="2"/>
  <c r="K8" i="2"/>
  <c r="CC67" i="2"/>
  <c r="CA68" i="2" s="1"/>
  <c r="H38" i="5"/>
  <c r="I38" i="5" s="1"/>
  <c r="CC8" i="2"/>
  <c r="CE30" i="2"/>
  <c r="CC9" i="2"/>
  <c r="CE29" i="2" s="1"/>
  <c r="AH61" i="2"/>
  <c r="E56" i="22714"/>
  <c r="F8" i="22725"/>
  <c r="C8" i="22725"/>
  <c r="D76" i="22715"/>
  <c r="N10" i="22723"/>
  <c r="C7" i="22725"/>
  <c r="F7" i="22725"/>
  <c r="AI10" i="22723"/>
  <c r="G9" i="22725"/>
  <c r="CE61" i="2"/>
  <c r="BT68" i="2"/>
  <c r="BX61" i="2"/>
  <c r="BX68" i="2" s="1"/>
  <c r="B113" i="3"/>
  <c r="B152" i="3"/>
  <c r="B160" i="3" s="1"/>
  <c r="H196" i="22715" s="1"/>
  <c r="CX68" i="2"/>
  <c r="CZ58" i="2"/>
  <c r="DG61" i="2"/>
  <c r="CV68" i="2"/>
  <c r="CZ61" i="2"/>
  <c r="BJ61" i="2"/>
  <c r="BF68" i="2"/>
  <c r="BJ58" i="2"/>
  <c r="BH68" i="2"/>
  <c r="CS61" i="2"/>
  <c r="CZ48" i="2"/>
  <c r="CZ55" i="2" s="1"/>
  <c r="CS58" i="2"/>
  <c r="F16" i="22725" l="1"/>
  <c r="M20" i="22723"/>
  <c r="F19" i="22723"/>
  <c r="F20" i="22723"/>
  <c r="M19" i="22723"/>
  <c r="M21" i="22723"/>
  <c r="F21" i="22723"/>
  <c r="BJ55" i="2"/>
  <c r="F68" i="22725"/>
  <c r="B93" i="22725" s="1"/>
  <c r="J83" i="22715" s="1"/>
  <c r="B106" i="22725"/>
  <c r="B116" i="22725" s="1"/>
  <c r="C106" i="22725" s="1"/>
  <c r="H51" i="22725"/>
  <c r="AM68" i="2"/>
  <c r="AL44" i="2"/>
  <c r="AM43" i="2" s="1"/>
  <c r="AM48" i="2" s="1"/>
  <c r="E57" i="1"/>
  <c r="E58" i="1" s="1"/>
  <c r="F38" i="1" s="1"/>
  <c r="G84" i="22714"/>
  <c r="G96" i="22714"/>
  <c r="G82" i="22714"/>
  <c r="E101" i="22714"/>
  <c r="G86" i="22714"/>
  <c r="G83" i="22714"/>
  <c r="D50" i="22725"/>
  <c r="D51" i="22725" s="1"/>
  <c r="K51" i="22725" s="1"/>
  <c r="K55" i="22725" s="1"/>
  <c r="G95" i="22714"/>
  <c r="BX43" i="2"/>
  <c r="BX48" i="2" s="1"/>
  <c r="BV48" i="2"/>
  <c r="BV49" i="2" s="1"/>
  <c r="BX49" i="2" s="1"/>
  <c r="F18" i="22725"/>
  <c r="F20" i="22725"/>
  <c r="F19" i="22725"/>
  <c r="BH67" i="22723"/>
  <c r="BH9" i="22723"/>
  <c r="BH8" i="22723"/>
  <c r="BQ17" i="22723"/>
  <c r="D45" i="22715"/>
  <c r="D88" i="22725"/>
  <c r="D46" i="22715"/>
  <c r="D89" i="22725"/>
  <c r="F17" i="22723"/>
  <c r="AA17" i="22723"/>
  <c r="BQ21" i="22723"/>
  <c r="BQ19" i="22723"/>
  <c r="DG20" i="22723"/>
  <c r="CZ21" i="22723"/>
  <c r="CZ19" i="22723"/>
  <c r="CS20" i="22723"/>
  <c r="CL21" i="22723"/>
  <c r="CL19" i="22723"/>
  <c r="CE20" i="22723"/>
  <c r="BX21" i="22723"/>
  <c r="BX19" i="22723"/>
  <c r="BJ20" i="22723"/>
  <c r="BC21" i="22723"/>
  <c r="BC19" i="22723"/>
  <c r="AV20" i="22723"/>
  <c r="AO21" i="22723"/>
  <c r="AO19" i="22723"/>
  <c r="AH19" i="22723"/>
  <c r="T21" i="22723"/>
  <c r="T19" i="22723"/>
  <c r="AA19" i="22723"/>
  <c r="CS21" i="22723"/>
  <c r="BQ20" i="22723"/>
  <c r="DG21" i="22723"/>
  <c r="DG19" i="22723"/>
  <c r="CZ20" i="22723"/>
  <c r="CS19" i="22723"/>
  <c r="CE21" i="22723"/>
  <c r="CE19" i="22723"/>
  <c r="CL20" i="22723"/>
  <c r="BC20" i="22723"/>
  <c r="AH21" i="22723"/>
  <c r="BJ19" i="22723"/>
  <c r="AO20" i="22723"/>
  <c r="AH20" i="22723"/>
  <c r="BJ21" i="22723"/>
  <c r="AV19" i="22723"/>
  <c r="AA21" i="22723"/>
  <c r="BX20" i="22723"/>
  <c r="AV21" i="22723"/>
  <c r="T20" i="22723"/>
  <c r="AA20" i="22723"/>
  <c r="T17" i="22723"/>
  <c r="AH17" i="22723"/>
  <c r="D70" i="22715"/>
  <c r="D78" i="22715" s="1"/>
  <c r="CZ17" i="22723"/>
  <c r="BX17" i="22723"/>
  <c r="AV17" i="22723"/>
  <c r="DG17" i="22723"/>
  <c r="AO17" i="22723"/>
  <c r="CL17" i="22723"/>
  <c r="CS17" i="22723"/>
  <c r="CE17" i="22723"/>
  <c r="BJ17" i="22723"/>
  <c r="BC17" i="22723"/>
  <c r="AO67" i="2"/>
  <c r="AO68" i="2" s="1"/>
  <c r="BX10" i="2"/>
  <c r="BX12" i="2" s="1"/>
  <c r="BX74" i="2" s="1"/>
  <c r="AO31" i="2"/>
  <c r="AO35" i="2" s="1"/>
  <c r="AO9" i="2"/>
  <c r="AO10" i="2" s="1"/>
  <c r="AO12" i="2" s="1"/>
  <c r="D32" i="5" s="1"/>
  <c r="AL9" i="2"/>
  <c r="AL10" i="2" s="1"/>
  <c r="C31" i="3"/>
  <c r="F31" i="3" s="1"/>
  <c r="G177" i="1"/>
  <c r="G174" i="1"/>
  <c r="G183" i="1"/>
  <c r="G170" i="1"/>
  <c r="G169" i="1"/>
  <c r="G182" i="1"/>
  <c r="G181" i="1"/>
  <c r="G173" i="1"/>
  <c r="G176" i="1"/>
  <c r="C30" i="3"/>
  <c r="F30" i="3" s="1"/>
  <c r="G156" i="1"/>
  <c r="G165" i="1"/>
  <c r="G160" i="1"/>
  <c r="G164" i="1"/>
  <c r="G159" i="1"/>
  <c r="F100" i="1"/>
  <c r="F102" i="1" s="1"/>
  <c r="G131" i="1"/>
  <c r="G136" i="1"/>
  <c r="G128" i="1"/>
  <c r="G133" i="1"/>
  <c r="G135" i="1"/>
  <c r="G134" i="1"/>
  <c r="G129" i="1"/>
  <c r="BG10" i="2"/>
  <c r="DE68" i="2"/>
  <c r="CW10" i="2"/>
  <c r="CZ10" i="2"/>
  <c r="CZ12" i="2" s="1"/>
  <c r="CZ74" i="2" s="1"/>
  <c r="E32" i="22714"/>
  <c r="E33" i="22714" s="1"/>
  <c r="CQ68" i="2"/>
  <c r="BU10" i="2"/>
  <c r="D37" i="5"/>
  <c r="D35" i="5"/>
  <c r="AH9" i="2"/>
  <c r="AH31" i="2"/>
  <c r="AH35" i="2" s="1"/>
  <c r="AE9" i="2"/>
  <c r="AO43" i="2"/>
  <c r="AO48" i="2" s="1"/>
  <c r="AM49" i="2"/>
  <c r="AO49" i="2" s="1"/>
  <c r="CL9" i="2"/>
  <c r="CL31" i="2"/>
  <c r="CL35" i="2" s="1"/>
  <c r="CI9" i="2"/>
  <c r="Q9" i="2"/>
  <c r="T31" i="2"/>
  <c r="T35" i="2" s="1"/>
  <c r="T9" i="2"/>
  <c r="F22" i="1"/>
  <c r="F55" i="1"/>
  <c r="CB8" i="2"/>
  <c r="CE8" i="2"/>
  <c r="M8" i="2"/>
  <c r="J8" i="2"/>
  <c r="J9" i="2"/>
  <c r="M9" i="2"/>
  <c r="M31" i="2"/>
  <c r="M35" i="2" s="1"/>
  <c r="AZ8" i="2"/>
  <c r="BC8" i="2"/>
  <c r="AE44" i="2"/>
  <c r="AF43" i="2" s="1"/>
  <c r="AF48" i="2" s="1"/>
  <c r="AH67" i="2"/>
  <c r="AH68" i="2" s="1"/>
  <c r="AF68" i="2"/>
  <c r="CI8" i="2"/>
  <c r="CL8" i="2"/>
  <c r="CP44" i="2"/>
  <c r="CQ43" i="2" s="1"/>
  <c r="CQ48" i="2" s="1"/>
  <c r="CS67" i="2"/>
  <c r="CS68" i="2" s="1"/>
  <c r="D51" i="4"/>
  <c r="BV10" i="22723" s="1"/>
  <c r="D46" i="4"/>
  <c r="AM10" i="22723" s="1"/>
  <c r="D55" i="4"/>
  <c r="CX10" i="22723" s="1"/>
  <c r="D43" i="4"/>
  <c r="R10" i="22723" s="1"/>
  <c r="D53" i="4"/>
  <c r="CJ10" i="22723" s="1"/>
  <c r="D54" i="4"/>
  <c r="CQ10" i="22723" s="1"/>
  <c r="D42" i="4"/>
  <c r="K10" i="22723" s="1"/>
  <c r="D41" i="4"/>
  <c r="D48" i="4"/>
  <c r="BA10" i="22723" s="1"/>
  <c r="D47" i="4"/>
  <c r="AT10" i="22723" s="1"/>
  <c r="D52" i="4"/>
  <c r="CC10" i="22723" s="1"/>
  <c r="D45" i="4"/>
  <c r="D56" i="4"/>
  <c r="DE10" i="22723" s="1"/>
  <c r="D50" i="4"/>
  <c r="BO10" i="22723" s="1"/>
  <c r="C8" i="2"/>
  <c r="F8" i="2"/>
  <c r="DD44" i="2"/>
  <c r="DE43" i="2" s="1"/>
  <c r="DE48" i="2" s="1"/>
  <c r="DG67" i="2"/>
  <c r="DG68" i="2" s="1"/>
  <c r="CB44" i="2"/>
  <c r="CC43" i="2" s="1"/>
  <c r="CC48" i="2" s="1"/>
  <c r="CE67" i="2"/>
  <c r="CE68" i="2" s="1"/>
  <c r="CC68" i="2"/>
  <c r="AZ44" i="2"/>
  <c r="BA43" i="2" s="1"/>
  <c r="BA48" i="2" s="1"/>
  <c r="BC67" i="2"/>
  <c r="BC68" i="2" s="1"/>
  <c r="AY68" i="2"/>
  <c r="BA68" i="2"/>
  <c r="AV9" i="2"/>
  <c r="AS9" i="2"/>
  <c r="AV31" i="2"/>
  <c r="AV35" i="2" s="1"/>
  <c r="CI44" i="2"/>
  <c r="CJ43" i="2" s="1"/>
  <c r="CJ48" i="2" s="1"/>
  <c r="CH68" i="2"/>
  <c r="CJ68" i="2"/>
  <c r="CL67" i="2"/>
  <c r="CL68" i="2" s="1"/>
  <c r="D7" i="3"/>
  <c r="F9" i="3"/>
  <c r="F11" i="3" s="1"/>
  <c r="D62" i="3"/>
  <c r="B68" i="3" s="1"/>
  <c r="D8" i="3"/>
  <c r="BQ8" i="2"/>
  <c r="BN8" i="2"/>
  <c r="DG9" i="2"/>
  <c r="DD9" i="2"/>
  <c r="DG31" i="2"/>
  <c r="DG35" i="2" s="1"/>
  <c r="F26" i="1"/>
  <c r="F50" i="1"/>
  <c r="F52" i="1"/>
  <c r="F53" i="1"/>
  <c r="CE31" i="2"/>
  <c r="CE35" i="2" s="1"/>
  <c r="CE9" i="2"/>
  <c r="CB9" i="2"/>
  <c r="CP8" i="2"/>
  <c r="CS8" i="2"/>
  <c r="BQ67" i="2"/>
  <c r="BQ68" i="2" s="1"/>
  <c r="BN44" i="2"/>
  <c r="BO43" i="2" s="1"/>
  <c r="BO48" i="2" s="1"/>
  <c r="BO68" i="2"/>
  <c r="BM68" i="2"/>
  <c r="Q8" i="2"/>
  <c r="T8" i="2"/>
  <c r="Q44" i="2"/>
  <c r="R43" i="2" s="1"/>
  <c r="R48" i="2" s="1"/>
  <c r="T67" i="2"/>
  <c r="T68" i="2" s="1"/>
  <c r="P68" i="2"/>
  <c r="F41" i="1"/>
  <c r="F21" i="1"/>
  <c r="F47" i="1"/>
  <c r="F27" i="1"/>
  <c r="J44" i="2"/>
  <c r="K43" i="2" s="1"/>
  <c r="I68" i="2"/>
  <c r="M67" i="2"/>
  <c r="M68" i="2" s="1"/>
  <c r="AZ9" i="2"/>
  <c r="BC31" i="2"/>
  <c r="BC35" i="2" s="1"/>
  <c r="BC9" i="2"/>
  <c r="AV67" i="2"/>
  <c r="AV68" i="2" s="1"/>
  <c r="AS44" i="2"/>
  <c r="AT43" i="2" s="1"/>
  <c r="AT48" i="2" s="1"/>
  <c r="AR68" i="2"/>
  <c r="AT68" i="2"/>
  <c r="AV8" i="2"/>
  <c r="AS8" i="2"/>
  <c r="AE8" i="2"/>
  <c r="AH8" i="2"/>
  <c r="CS9" i="2"/>
  <c r="CP9" i="2"/>
  <c r="CS31" i="2"/>
  <c r="CS35" i="2" s="1"/>
  <c r="BQ9" i="2"/>
  <c r="BN9" i="2"/>
  <c r="BQ31" i="2"/>
  <c r="BQ35" i="2" s="1"/>
  <c r="B68" i="2"/>
  <c r="C44" i="2"/>
  <c r="D43" i="2" s="1"/>
  <c r="F67" i="2"/>
  <c r="F68" i="2" s="1"/>
  <c r="D68" i="2"/>
  <c r="DD8" i="2"/>
  <c r="DG8" i="2"/>
  <c r="B154" i="3"/>
  <c r="B120" i="22725"/>
  <c r="J110" i="22715" s="1"/>
  <c r="I196" i="22715"/>
  <c r="D73" i="22715"/>
  <c r="B122" i="22725"/>
  <c r="D71" i="22715"/>
  <c r="F11" i="22725"/>
  <c r="C9" i="22725"/>
  <c r="CZ68" i="2"/>
  <c r="BJ68" i="2"/>
  <c r="B122" i="3"/>
  <c r="F36" i="1" l="1"/>
  <c r="F40" i="1"/>
  <c r="F54" i="1"/>
  <c r="F39" i="1"/>
  <c r="F37" i="1"/>
  <c r="F31" i="1"/>
  <c r="F35" i="1"/>
  <c r="E78" i="1"/>
  <c r="E100" i="1" s="1"/>
  <c r="F51" i="1"/>
  <c r="F48" i="1"/>
  <c r="F56" i="1"/>
  <c r="BX55" i="2"/>
  <c r="F58" i="1"/>
  <c r="F28" i="1"/>
  <c r="F42" i="1"/>
  <c r="F44" i="1"/>
  <c r="F29" i="1"/>
  <c r="F32" i="1"/>
  <c r="F30" i="1"/>
  <c r="F43" i="1"/>
  <c r="F49" i="1"/>
  <c r="F57" i="1"/>
  <c r="F33" i="1"/>
  <c r="DG22" i="22723"/>
  <c r="F22" i="22723"/>
  <c r="F21" i="22725"/>
  <c r="B142" i="22725" s="1"/>
  <c r="B158" i="22725" s="1"/>
  <c r="J194" i="22715" s="1"/>
  <c r="BO67" i="22723"/>
  <c r="BO9" i="22723"/>
  <c r="BO8" i="22723"/>
  <c r="AM67" i="22723"/>
  <c r="AM8" i="22723"/>
  <c r="AM9" i="22723"/>
  <c r="DE67" i="22723"/>
  <c r="DE9" i="22723"/>
  <c r="DE8" i="22723"/>
  <c r="BA67" i="22723"/>
  <c r="BA8" i="22723"/>
  <c r="BA9" i="22723"/>
  <c r="CJ67" i="22723"/>
  <c r="CJ8" i="22723"/>
  <c r="CJ9" i="22723"/>
  <c r="BV67" i="22723"/>
  <c r="BV9" i="22723"/>
  <c r="BV8" i="22723"/>
  <c r="CQ67" i="22723"/>
  <c r="CQ8" i="22723"/>
  <c r="CQ9" i="22723"/>
  <c r="E45" i="4"/>
  <c r="AF10" i="22723"/>
  <c r="R67" i="22723"/>
  <c r="R8" i="22723"/>
  <c r="R9" i="22723"/>
  <c r="BJ8" i="22723"/>
  <c r="BG8" i="22723"/>
  <c r="AT67" i="22723"/>
  <c r="AT8" i="22723"/>
  <c r="AT9" i="22723"/>
  <c r="BF68" i="22723"/>
  <c r="BG44" i="22723"/>
  <c r="BH43" i="22723" s="1"/>
  <c r="BH48" i="22723" s="1"/>
  <c r="BH49" i="22723" s="1"/>
  <c r="BH68" i="22723"/>
  <c r="BJ67" i="22723"/>
  <c r="BJ68" i="22723" s="1"/>
  <c r="CC67" i="22723"/>
  <c r="CC8" i="22723"/>
  <c r="CC9" i="22723"/>
  <c r="K67" i="22723"/>
  <c r="K9" i="22723"/>
  <c r="K8" i="22723"/>
  <c r="CX67" i="22723"/>
  <c r="CX9" i="22723"/>
  <c r="CX8" i="22723"/>
  <c r="BJ29" i="22723"/>
  <c r="BG9" i="22723"/>
  <c r="BJ9" i="22723"/>
  <c r="AH22" i="22723"/>
  <c r="C107" i="22725"/>
  <c r="C110" i="22725"/>
  <c r="C109" i="22725"/>
  <c r="C112" i="22725"/>
  <c r="C108" i="22725"/>
  <c r="C113" i="22725"/>
  <c r="C114" i="22725"/>
  <c r="C115" i="22725"/>
  <c r="C111" i="22725"/>
  <c r="F83" i="22725"/>
  <c r="J76" i="22715" s="1"/>
  <c r="G82" i="22725"/>
  <c r="AO22" i="22723"/>
  <c r="AV22" i="22723"/>
  <c r="CS22" i="22723"/>
  <c r="BC22" i="22723"/>
  <c r="BQ22" i="22723"/>
  <c r="BJ22" i="22723"/>
  <c r="CZ22" i="22723"/>
  <c r="M22" i="22723"/>
  <c r="CE22" i="22723"/>
  <c r="AA22" i="22723"/>
  <c r="CL22" i="22723"/>
  <c r="T22" i="22723"/>
  <c r="BX22" i="22723"/>
  <c r="D49" i="22726"/>
  <c r="D50" i="22726" s="1"/>
  <c r="J75" i="22715"/>
  <c r="AO55" i="2"/>
  <c r="D41" i="5"/>
  <c r="B158" i="3"/>
  <c r="B161" i="3" s="1"/>
  <c r="D59" i="4"/>
  <c r="E59" i="4" s="1"/>
  <c r="C10" i="2"/>
  <c r="AO74" i="2"/>
  <c r="CE10" i="2"/>
  <c r="CE12" i="2" s="1"/>
  <c r="D38" i="5" s="1"/>
  <c r="BQ10" i="2"/>
  <c r="BQ12" i="2" s="1"/>
  <c r="D36" i="5" s="1"/>
  <c r="DD10" i="2"/>
  <c r="BN10" i="2"/>
  <c r="Q10" i="2"/>
  <c r="AS10" i="2"/>
  <c r="CP10" i="2"/>
  <c r="BC43" i="2"/>
  <c r="BC48" i="2" s="1"/>
  <c r="BA49" i="2"/>
  <c r="BC49" i="2" s="1"/>
  <c r="E52" i="4"/>
  <c r="M10" i="2"/>
  <c r="M12" i="2" s="1"/>
  <c r="CB10" i="2"/>
  <c r="F10" i="2"/>
  <c r="F12" i="2" s="1"/>
  <c r="BQ43" i="2"/>
  <c r="BQ48" i="2" s="1"/>
  <c r="BO49" i="2"/>
  <c r="BQ49" i="2" s="1"/>
  <c r="AH10" i="2"/>
  <c r="AH12" i="2" s="1"/>
  <c r="F8" i="3"/>
  <c r="C8" i="3"/>
  <c r="C7" i="3"/>
  <c r="F7" i="3"/>
  <c r="CL43" i="2"/>
  <c r="CL48" i="2" s="1"/>
  <c r="CJ49" i="2"/>
  <c r="CL49" i="2" s="1"/>
  <c r="CE43" i="2"/>
  <c r="CE48" i="2" s="1"/>
  <c r="CC49" i="2"/>
  <c r="CE49" i="2" s="1"/>
  <c r="E50" i="4"/>
  <c r="E47" i="4"/>
  <c r="E54" i="4"/>
  <c r="E55" i="4"/>
  <c r="CL10" i="2"/>
  <c r="CL12" i="2" s="1"/>
  <c r="AH43" i="2"/>
  <c r="AH48" i="2" s="1"/>
  <c r="AF49" i="2"/>
  <c r="AH49" i="2" s="1"/>
  <c r="AV10" i="2"/>
  <c r="AV12" i="2" s="1"/>
  <c r="AZ10" i="2"/>
  <c r="T43" i="2"/>
  <c r="T48" i="2" s="1"/>
  <c r="R49" i="2"/>
  <c r="T49" i="2" s="1"/>
  <c r="G82" i="3"/>
  <c r="B41" i="22715"/>
  <c r="DG43" i="2"/>
  <c r="DG48" i="2" s="1"/>
  <c r="DE49" i="2"/>
  <c r="DG49" i="2" s="1"/>
  <c r="E42" i="4"/>
  <c r="E49" i="4"/>
  <c r="F48" i="2"/>
  <c r="D49" i="2"/>
  <c r="F49" i="2" s="1"/>
  <c r="AV43" i="2"/>
  <c r="AV48" i="2" s="1"/>
  <c r="AT49" i="2"/>
  <c r="AV49" i="2" s="1"/>
  <c r="AE10" i="2"/>
  <c r="E56" i="4"/>
  <c r="E48" i="4"/>
  <c r="E53" i="4"/>
  <c r="E46" i="4"/>
  <c r="CS43" i="2"/>
  <c r="CS48" i="2" s="1"/>
  <c r="CQ49" i="2"/>
  <c r="CS49" i="2" s="1"/>
  <c r="CI10" i="2"/>
  <c r="BC10" i="2"/>
  <c r="BC12" i="2" s="1"/>
  <c r="M43" i="2"/>
  <c r="M48" i="2" s="1"/>
  <c r="K49" i="2"/>
  <c r="M49" i="2" s="1"/>
  <c r="DG10" i="2"/>
  <c r="DG12" i="2" s="1"/>
  <c r="CS10" i="2"/>
  <c r="CS12" i="2" s="1"/>
  <c r="B79" i="22715"/>
  <c r="C46" i="3"/>
  <c r="D45" i="3" s="1"/>
  <c r="F62" i="3"/>
  <c r="D68" i="3"/>
  <c r="F83" i="3" s="1"/>
  <c r="T10" i="2"/>
  <c r="T12" i="2" s="1"/>
  <c r="D10" i="22723"/>
  <c r="F30" i="22723" s="1"/>
  <c r="E41" i="4"/>
  <c r="E43" i="4"/>
  <c r="E51" i="4"/>
  <c r="J10" i="2"/>
  <c r="D41" i="22715"/>
  <c r="H112" i="22715"/>
  <c r="J112" i="22715"/>
  <c r="B123" i="22725"/>
  <c r="F82" i="22725" l="1"/>
  <c r="F55" i="2"/>
  <c r="M55" i="2"/>
  <c r="BG10" i="22723"/>
  <c r="CW8" i="22723"/>
  <c r="CZ8" i="22723"/>
  <c r="M29" i="22723"/>
  <c r="J9" i="22723"/>
  <c r="M9" i="22723"/>
  <c r="CB44" i="22723"/>
  <c r="CC43" i="22723" s="1"/>
  <c r="CC48" i="22723" s="1"/>
  <c r="CC49" i="22723" s="1"/>
  <c r="CA68" i="22723"/>
  <c r="CE67" i="22723"/>
  <c r="CE68" i="22723" s="1"/>
  <c r="CC68" i="22723"/>
  <c r="Q44" i="22723"/>
  <c r="R43" i="22723" s="1"/>
  <c r="R48" i="22723" s="1"/>
  <c r="R49" i="22723" s="1"/>
  <c r="P68" i="22723"/>
  <c r="R68" i="22723"/>
  <c r="T67" i="22723"/>
  <c r="T68" i="22723" s="1"/>
  <c r="CP8" i="22723"/>
  <c r="CS8" i="22723"/>
  <c r="BT68" i="22723"/>
  <c r="BU44" i="22723"/>
  <c r="BV43" i="22723" s="1"/>
  <c r="BV48" i="22723" s="1"/>
  <c r="BV49" i="22723" s="1"/>
  <c r="BV68" i="22723"/>
  <c r="BX67" i="22723"/>
  <c r="BX68" i="22723" s="1"/>
  <c r="BC29" i="22723"/>
  <c r="BC9" i="22723"/>
  <c r="AZ9" i="22723"/>
  <c r="DG29" i="22723"/>
  <c r="DD9" i="22723"/>
  <c r="DG9" i="22723"/>
  <c r="AL44" i="22723"/>
  <c r="AM43" i="22723" s="1"/>
  <c r="AM48" i="22723" s="1"/>
  <c r="AM49" i="22723" s="1"/>
  <c r="AK68" i="22723"/>
  <c r="AM68" i="22723"/>
  <c r="AO67" i="22723"/>
  <c r="AO68" i="22723" s="1"/>
  <c r="CZ29" i="22723"/>
  <c r="CZ9" i="22723"/>
  <c r="CW9" i="22723"/>
  <c r="J44" i="22723"/>
  <c r="K43" i="22723" s="1"/>
  <c r="K49" i="22723" s="1"/>
  <c r="I68" i="22723"/>
  <c r="K68" i="22723"/>
  <c r="M67" i="22723"/>
  <c r="M68" i="22723" s="1"/>
  <c r="AV29" i="22723"/>
  <c r="AV9" i="22723"/>
  <c r="AS9" i="22723"/>
  <c r="BJ10" i="22723"/>
  <c r="AF67" i="22723"/>
  <c r="AF9" i="22723"/>
  <c r="AF8" i="22723"/>
  <c r="CP44" i="22723"/>
  <c r="CQ43" i="22723" s="1"/>
  <c r="CQ48" i="22723" s="1"/>
  <c r="CQ49" i="22723" s="1"/>
  <c r="CO68" i="22723"/>
  <c r="CQ68" i="22723"/>
  <c r="CS67" i="22723"/>
  <c r="CS68" i="22723" s="1"/>
  <c r="CL29" i="22723"/>
  <c r="CI9" i="22723"/>
  <c r="CL9" i="22723"/>
  <c r="AZ8" i="22723"/>
  <c r="BC8" i="22723"/>
  <c r="DD44" i="22723"/>
  <c r="DE43" i="22723" s="1"/>
  <c r="DE48" i="22723" s="1"/>
  <c r="DE49" i="22723" s="1"/>
  <c r="DC68" i="22723"/>
  <c r="DG67" i="22723"/>
  <c r="DG68" i="22723" s="1"/>
  <c r="DE68" i="22723"/>
  <c r="BN8" i="22723"/>
  <c r="BQ8" i="22723"/>
  <c r="CW44" i="22723"/>
  <c r="CX43" i="22723" s="1"/>
  <c r="CX48" i="22723" s="1"/>
  <c r="CX49" i="22723" s="1"/>
  <c r="CV68" i="22723"/>
  <c r="CZ67" i="22723"/>
  <c r="CZ68" i="22723" s="1"/>
  <c r="CX68" i="22723"/>
  <c r="CE29" i="22723"/>
  <c r="CE9" i="22723"/>
  <c r="CB9" i="22723"/>
  <c r="AV8" i="22723"/>
  <c r="AV10" i="22723" s="1"/>
  <c r="AS8" i="22723"/>
  <c r="AS10" i="22723" s="1"/>
  <c r="T29" i="22723"/>
  <c r="T9" i="22723"/>
  <c r="Q9" i="22723"/>
  <c r="BX8" i="22723"/>
  <c r="BU8" i="22723"/>
  <c r="CL8" i="22723"/>
  <c r="CI8" i="22723"/>
  <c r="AZ44" i="22723"/>
  <c r="BA43" i="22723" s="1"/>
  <c r="BA48" i="22723" s="1"/>
  <c r="BA49" i="22723" s="1"/>
  <c r="AY68" i="22723"/>
  <c r="BA68" i="22723"/>
  <c r="BC67" i="22723"/>
  <c r="BC68" i="22723" s="1"/>
  <c r="AO29" i="22723"/>
  <c r="AL9" i="22723"/>
  <c r="AO9" i="22723"/>
  <c r="BQ29" i="22723"/>
  <c r="BN9" i="22723"/>
  <c r="BQ9" i="22723"/>
  <c r="J8" i="22723"/>
  <c r="M8" i="22723"/>
  <c r="CB8" i="22723"/>
  <c r="CE8" i="22723"/>
  <c r="CE10" i="22723" s="1"/>
  <c r="AS44" i="22723"/>
  <c r="AT43" i="22723" s="1"/>
  <c r="AT48" i="22723" s="1"/>
  <c r="AT49" i="22723" s="1"/>
  <c r="AR68" i="22723"/>
  <c r="AV67" i="22723"/>
  <c r="AV68" i="22723" s="1"/>
  <c r="AT68" i="22723"/>
  <c r="T8" i="22723"/>
  <c r="T10" i="22723" s="1"/>
  <c r="Q8" i="22723"/>
  <c r="Q10" i="22723" s="1"/>
  <c r="CS29" i="22723"/>
  <c r="CP9" i="22723"/>
  <c r="CS9" i="22723"/>
  <c r="BX29" i="22723"/>
  <c r="BX9" i="22723"/>
  <c r="BU9" i="22723"/>
  <c r="CI44" i="22723"/>
  <c r="CJ43" i="22723" s="1"/>
  <c r="CJ48" i="22723" s="1"/>
  <c r="CJ49" i="22723" s="1"/>
  <c r="CH68" i="22723"/>
  <c r="CJ68" i="22723"/>
  <c r="CL67" i="22723"/>
  <c r="CL68" i="22723" s="1"/>
  <c r="DG8" i="22723"/>
  <c r="DG10" i="22723" s="1"/>
  <c r="DD8" i="22723"/>
  <c r="AL8" i="22723"/>
  <c r="AO8" i="22723"/>
  <c r="BM68" i="22723"/>
  <c r="BN44" i="22723"/>
  <c r="BO43" i="22723" s="1"/>
  <c r="BO48" i="22723" s="1"/>
  <c r="BO49" i="22723" s="1"/>
  <c r="BQ67" i="22723"/>
  <c r="BQ68" i="22723" s="1"/>
  <c r="BO68" i="22723"/>
  <c r="C116" i="22725"/>
  <c r="K45" i="3"/>
  <c r="B168" i="3"/>
  <c r="F84" i="3"/>
  <c r="H75" i="22715" s="1"/>
  <c r="I75" i="22715" s="1"/>
  <c r="C79" i="22715"/>
  <c r="J41" i="22715"/>
  <c r="F45" i="3"/>
  <c r="D50" i="3"/>
  <c r="D51" i="3" s="1"/>
  <c r="CS55" i="2"/>
  <c r="AV55" i="2"/>
  <c r="DG55" i="2"/>
  <c r="T55" i="2"/>
  <c r="AH55" i="2"/>
  <c r="CE55" i="2"/>
  <c r="CL55" i="2"/>
  <c r="BQ55" i="2"/>
  <c r="BC55" i="2"/>
  <c r="CE74" i="2"/>
  <c r="C9" i="3"/>
  <c r="C158" i="3"/>
  <c r="H199" i="22715" s="1"/>
  <c r="H174" i="22715"/>
  <c r="H194" i="22715"/>
  <c r="H197" i="22715" s="1"/>
  <c r="BQ74" i="2"/>
  <c r="C41" i="22715"/>
  <c r="H29" i="22726"/>
  <c r="I29" i="22726" s="1"/>
  <c r="T30" i="22723"/>
  <c r="B170" i="3"/>
  <c r="B177" i="3" s="1"/>
  <c r="B106" i="3"/>
  <c r="F68" i="3"/>
  <c r="D67" i="22723"/>
  <c r="C44" i="22723" s="1"/>
  <c r="H27" i="22726"/>
  <c r="I27" i="22726" s="1"/>
  <c r="D9" i="22723"/>
  <c r="F29" i="22723" s="1"/>
  <c r="D8" i="22723"/>
  <c r="C8" i="22723" s="1"/>
  <c r="T74" i="2"/>
  <c r="D29" i="5"/>
  <c r="H51" i="3"/>
  <c r="H39" i="22726"/>
  <c r="I39" i="22726" s="1"/>
  <c r="CL30" i="22723"/>
  <c r="DG30" i="22723"/>
  <c r="H42" i="22726"/>
  <c r="I42" i="22726" s="1"/>
  <c r="D31" i="5"/>
  <c r="AH74" i="2"/>
  <c r="H38" i="22726"/>
  <c r="I38" i="22726" s="1"/>
  <c r="CE30" i="22723"/>
  <c r="H31" i="22726"/>
  <c r="I31" i="22726" s="1"/>
  <c r="AH30" i="22723"/>
  <c r="H35" i="22726"/>
  <c r="I35" i="22726" s="1"/>
  <c r="BJ30" i="22723"/>
  <c r="H41" i="22726"/>
  <c r="I41" i="22726" s="1"/>
  <c r="CZ30" i="22723"/>
  <c r="H33" i="22726"/>
  <c r="I33" i="22726" s="1"/>
  <c r="AV30" i="22723"/>
  <c r="D88" i="3"/>
  <c r="B45" i="22715"/>
  <c r="C45" i="22715" s="1"/>
  <c r="F74" i="2"/>
  <c r="D27" i="5"/>
  <c r="H37" i="22726"/>
  <c r="I37" i="22726" s="1"/>
  <c r="BX30" i="22723"/>
  <c r="B73" i="22715"/>
  <c r="C73" i="22715" s="1"/>
  <c r="B70" i="22715"/>
  <c r="B78" i="22715" s="1"/>
  <c r="D49" i="5"/>
  <c r="D50" i="5" s="1"/>
  <c r="DG74" i="2"/>
  <c r="D42" i="5"/>
  <c r="BC74" i="2"/>
  <c r="D34" i="5"/>
  <c r="AO30" i="22723"/>
  <c r="H32" i="22726"/>
  <c r="I32" i="22726" s="1"/>
  <c r="H76" i="22715"/>
  <c r="I76" i="22715" s="1"/>
  <c r="CL74" i="2"/>
  <c r="D39" i="5"/>
  <c r="H40" i="22726"/>
  <c r="I40" i="22726" s="1"/>
  <c r="CS30" i="22723"/>
  <c r="H36" i="22726"/>
  <c r="I36" i="22726" s="1"/>
  <c r="BQ30" i="22723"/>
  <c r="M74" i="2"/>
  <c r="D28" i="5"/>
  <c r="B76" i="22715"/>
  <c r="C76" i="22715" s="1"/>
  <c r="B71" i="22715"/>
  <c r="C71" i="22715" s="1"/>
  <c r="D40" i="5"/>
  <c r="CS74" i="2"/>
  <c r="H34" i="22726"/>
  <c r="I34" i="22726" s="1"/>
  <c r="BC30" i="22723"/>
  <c r="H28" i="22726"/>
  <c r="I28" i="22726" s="1"/>
  <c r="M30" i="22723"/>
  <c r="D33" i="5"/>
  <c r="AV74" i="2"/>
  <c r="B46" i="22715"/>
  <c r="C46" i="22715" s="1"/>
  <c r="D89" i="3"/>
  <c r="C160" i="3"/>
  <c r="H201" i="22715" s="1"/>
  <c r="C159" i="3"/>
  <c r="H200" i="22715" s="1"/>
  <c r="C161" i="3"/>
  <c r="C120" i="22725"/>
  <c r="C121" i="22725"/>
  <c r="J116" i="22715" s="1"/>
  <c r="I112" i="22715"/>
  <c r="J113" i="22715"/>
  <c r="C122" i="22725"/>
  <c r="J117" i="22715" s="1"/>
  <c r="B93" i="3" l="1"/>
  <c r="H83" i="22715" s="1"/>
  <c r="I83" i="22715" s="1"/>
  <c r="F82" i="3"/>
  <c r="M10" i="22723"/>
  <c r="CI10" i="22723"/>
  <c r="CB10" i="22723"/>
  <c r="AO10" i="22723"/>
  <c r="BC10" i="22723"/>
  <c r="BU10" i="22723"/>
  <c r="AL10" i="22723"/>
  <c r="BX10" i="22723"/>
  <c r="AZ10" i="22723"/>
  <c r="AE8" i="22723"/>
  <c r="AH8" i="22723"/>
  <c r="CS10" i="22723"/>
  <c r="DD10" i="22723"/>
  <c r="BQ10" i="22723"/>
  <c r="AH29" i="22723"/>
  <c r="AH31" i="22723" s="1"/>
  <c r="AH35" i="22723" s="1"/>
  <c r="AH9" i="22723"/>
  <c r="AE9" i="22723"/>
  <c r="CP10" i="22723"/>
  <c r="CZ10" i="22723"/>
  <c r="J10" i="22723"/>
  <c r="CL10" i="22723"/>
  <c r="BN10" i="22723"/>
  <c r="AD68" i="22723"/>
  <c r="AE44" i="22723"/>
  <c r="AF43" i="22723" s="1"/>
  <c r="AF48" i="22723" s="1"/>
  <c r="AF49" i="22723" s="1"/>
  <c r="AF68" i="22723"/>
  <c r="AH67" i="22723"/>
  <c r="AH68" i="22723" s="1"/>
  <c r="CW10" i="22723"/>
  <c r="F51" i="3"/>
  <c r="K51" i="3"/>
  <c r="K55" i="3" s="1"/>
  <c r="T31" i="22723"/>
  <c r="T35" i="22723" s="1"/>
  <c r="BC31" i="22723"/>
  <c r="BC35" i="22723" s="1"/>
  <c r="CE31" i="22723"/>
  <c r="CE35" i="22723" s="1"/>
  <c r="F8" i="22723"/>
  <c r="F31" i="22723"/>
  <c r="F35" i="22723" s="1"/>
  <c r="BQ31" i="22723"/>
  <c r="BQ35" i="22723" s="1"/>
  <c r="AO31" i="22723"/>
  <c r="AO35" i="22723" s="1"/>
  <c r="AV31" i="22723"/>
  <c r="AV35" i="22723" s="1"/>
  <c r="CZ31" i="22723"/>
  <c r="CZ35" i="22723" s="1"/>
  <c r="D43" i="22723"/>
  <c r="B68" i="22723"/>
  <c r="D68" i="22723"/>
  <c r="F67" i="22723"/>
  <c r="F68" i="22723" s="1"/>
  <c r="B120" i="3"/>
  <c r="B116" i="3"/>
  <c r="C106" i="3" s="1"/>
  <c r="CS31" i="22723"/>
  <c r="CS35" i="22723" s="1"/>
  <c r="M31" i="22723"/>
  <c r="M35" i="22723" s="1"/>
  <c r="C9" i="22723"/>
  <c r="F9" i="22723"/>
  <c r="H247" i="22715"/>
  <c r="I247" i="22715" s="1"/>
  <c r="C78" i="22715"/>
  <c r="C70" i="22715"/>
  <c r="BX31" i="22723"/>
  <c r="BX35" i="22723" s="1"/>
  <c r="BJ31" i="22723"/>
  <c r="BJ35" i="22723" s="1"/>
  <c r="DG31" i="22723"/>
  <c r="DG35" i="22723" s="1"/>
  <c r="CL31" i="22723"/>
  <c r="CL35" i="22723" s="1"/>
  <c r="B167" i="3"/>
  <c r="B172" i="3" s="1"/>
  <c r="F50" i="3"/>
  <c r="C123" i="22725"/>
  <c r="J115" i="22715"/>
  <c r="AH10" i="22723" l="1"/>
  <c r="AE10" i="22723"/>
  <c r="D49" i="22723"/>
  <c r="F55" i="3"/>
  <c r="K57" i="3" s="1"/>
  <c r="H41" i="22715"/>
  <c r="I41" i="22715" s="1"/>
  <c r="CS12" i="22723"/>
  <c r="CS74" i="22723" s="1"/>
  <c r="CE12" i="22723"/>
  <c r="CE74" i="22723" s="1"/>
  <c r="BQ12" i="22723"/>
  <c r="D36" i="22726" s="1"/>
  <c r="T12" i="22723"/>
  <c r="H110" i="22715"/>
  <c r="B123" i="3"/>
  <c r="C120" i="3" s="1"/>
  <c r="AH12" i="22723"/>
  <c r="F10" i="22723"/>
  <c r="F12" i="22723" s="1"/>
  <c r="CL12" i="22723"/>
  <c r="AV12" i="22723"/>
  <c r="BC12" i="22723"/>
  <c r="DG12" i="22723"/>
  <c r="CZ12" i="22723"/>
  <c r="C10" i="22723"/>
  <c r="B176" i="3"/>
  <c r="H219" i="22715"/>
  <c r="BJ12" i="22723"/>
  <c r="M12" i="22723"/>
  <c r="C109" i="3"/>
  <c r="C115" i="3"/>
  <c r="C113" i="3"/>
  <c r="C114" i="3"/>
  <c r="C111" i="3"/>
  <c r="C112" i="3"/>
  <c r="C107" i="3"/>
  <c r="C110" i="3"/>
  <c r="C108" i="3"/>
  <c r="BX12" i="22723"/>
  <c r="AO12" i="22723"/>
  <c r="BQ74" i="22723" l="1"/>
  <c r="D40" i="22726"/>
  <c r="D38" i="22726"/>
  <c r="B128" i="3"/>
  <c r="H126" i="22715" s="1"/>
  <c r="B24" i="22715"/>
  <c r="C24" i="22715" s="1"/>
  <c r="C116" i="3"/>
  <c r="D37" i="22726"/>
  <c r="BX74" i="22723"/>
  <c r="D35" i="22726"/>
  <c r="BJ74" i="22723"/>
  <c r="DG74" i="22723"/>
  <c r="D42" i="22726"/>
  <c r="D39" i="22726"/>
  <c r="CL74" i="22723"/>
  <c r="D31" i="22726"/>
  <c r="AH74" i="22723"/>
  <c r="D29" i="22726"/>
  <c r="T74" i="22723"/>
  <c r="D33" i="22726"/>
  <c r="AV74" i="22723"/>
  <c r="H246" i="22715"/>
  <c r="B178" i="3"/>
  <c r="D41" i="22726"/>
  <c r="CZ74" i="22723"/>
  <c r="D34" i="22726"/>
  <c r="BC74" i="22723"/>
  <c r="D27" i="22726"/>
  <c r="F74" i="22723"/>
  <c r="H115" i="22715"/>
  <c r="I110" i="22715"/>
  <c r="H113" i="22715"/>
  <c r="I113" i="22715" s="1"/>
  <c r="D32" i="22726"/>
  <c r="AO74" i="22723"/>
  <c r="M74" i="22723"/>
  <c r="D28" i="22726"/>
  <c r="C121" i="3"/>
  <c r="H116" i="22715" s="1"/>
  <c r="C122" i="3"/>
  <c r="H117" i="22715" s="1"/>
  <c r="I194" i="22715"/>
  <c r="BI50" i="22723" l="1"/>
  <c r="BJ50" i="22723" s="1"/>
  <c r="L38" i="22723"/>
  <c r="M38" i="22723" s="1"/>
  <c r="E38" i="22723"/>
  <c r="F38" i="22723" s="1"/>
  <c r="D36" i="22714"/>
  <c r="E36" i="22714" s="1"/>
  <c r="D37" i="22714"/>
  <c r="E37" i="22714" s="1"/>
  <c r="D38" i="22714"/>
  <c r="E38" i="22714" s="1"/>
  <c r="E52" i="22725"/>
  <c r="F52" i="22725" s="1"/>
  <c r="E47" i="22725"/>
  <c r="F47" i="22725" s="1"/>
  <c r="E42" i="22725"/>
  <c r="F42" i="22725" s="1"/>
  <c r="E51" i="22725"/>
  <c r="E45" i="22725"/>
  <c r="F45" i="22725" s="1"/>
  <c r="B167" i="22725" s="1"/>
  <c r="E41" i="22725"/>
  <c r="F41" i="22725" s="1"/>
  <c r="E49" i="22725"/>
  <c r="F49" i="22725" s="1"/>
  <c r="E44" i="22725"/>
  <c r="F44" i="22725" s="1"/>
  <c r="B147" i="22725" s="1"/>
  <c r="E40" i="22725"/>
  <c r="F40" i="22725" s="1"/>
  <c r="E53" i="22725"/>
  <c r="F53" i="22725" s="1"/>
  <c r="E48" i="22725"/>
  <c r="F48" i="22725" s="1"/>
  <c r="E43" i="22725"/>
  <c r="F43" i="22725" s="1"/>
  <c r="B146" i="22725" s="1"/>
  <c r="CK53" i="22723"/>
  <c r="CL53" i="22723" s="1"/>
  <c r="CK52" i="22723"/>
  <c r="CL52" i="22723" s="1"/>
  <c r="BP46" i="22723"/>
  <c r="BQ46" i="22723" s="1"/>
  <c r="DG54" i="22723"/>
  <c r="DF47" i="22723"/>
  <c r="DG47" i="22723" s="1"/>
  <c r="DF46" i="22723"/>
  <c r="DG46" i="22723" s="1"/>
  <c r="CZ54" i="22723"/>
  <c r="CY47" i="22723"/>
  <c r="CZ47" i="22723" s="1"/>
  <c r="CY46" i="22723"/>
  <c r="CZ46" i="22723" s="1"/>
  <c r="CS54" i="22723"/>
  <c r="CR47" i="22723"/>
  <c r="CS47" i="22723" s="1"/>
  <c r="CR46" i="22723"/>
  <c r="CS46" i="22723" s="1"/>
  <c r="CE54" i="22723"/>
  <c r="CD47" i="22723"/>
  <c r="CE47" i="22723" s="1"/>
  <c r="CD46" i="22723"/>
  <c r="CE46" i="22723" s="1"/>
  <c r="BX54" i="22723"/>
  <c r="BW47" i="22723"/>
  <c r="BX47" i="22723" s="1"/>
  <c r="BW46" i="22723"/>
  <c r="BX46" i="22723" s="1"/>
  <c r="BJ54" i="22723"/>
  <c r="BI47" i="22723"/>
  <c r="BJ47" i="22723" s="1"/>
  <c r="BI46" i="22723"/>
  <c r="BJ46" i="22723" s="1"/>
  <c r="BB49" i="22723"/>
  <c r="BC49" i="22723" s="1"/>
  <c r="BB42" i="22723"/>
  <c r="BC42" i="22723" s="1"/>
  <c r="BB41" i="22723"/>
  <c r="BC41" i="22723" s="1"/>
  <c r="AV54" i="22723"/>
  <c r="AU47" i="22723"/>
  <c r="AV47" i="22723" s="1"/>
  <c r="AU46" i="22723"/>
  <c r="AV46" i="22723" s="1"/>
  <c r="AN53" i="22723"/>
  <c r="AO53" i="22723" s="1"/>
  <c r="AN52" i="22723"/>
  <c r="AO52" i="22723" s="1"/>
  <c r="AG46" i="22723"/>
  <c r="AH46" i="22723" s="1"/>
  <c r="Z52" i="22723"/>
  <c r="AA52" i="22723" s="1"/>
  <c r="Z47" i="22723"/>
  <c r="AA47" i="22723" s="1"/>
  <c r="S53" i="22723"/>
  <c r="T53" i="22723" s="1"/>
  <c r="S42" i="22723"/>
  <c r="T42" i="22723" s="1"/>
  <c r="S38" i="22723"/>
  <c r="T38" i="22723" s="1"/>
  <c r="L53" i="22723"/>
  <c r="M53" i="22723" s="1"/>
  <c r="CL54" i="22723"/>
  <c r="CK47" i="22723"/>
  <c r="CL47" i="22723" s="1"/>
  <c r="CK46" i="22723"/>
  <c r="CL46" i="22723" s="1"/>
  <c r="BP50" i="22723"/>
  <c r="BQ50" i="22723" s="1"/>
  <c r="BP49" i="22723"/>
  <c r="BQ49" i="22723" s="1"/>
  <c r="BP42" i="22723"/>
  <c r="BQ42" i="22723" s="1"/>
  <c r="BP41" i="22723"/>
  <c r="BQ41" i="22723" s="1"/>
  <c r="DF42" i="22723"/>
  <c r="DG42" i="22723" s="1"/>
  <c r="DF41" i="22723"/>
  <c r="DG41" i="22723" s="1"/>
  <c r="DF40" i="22723"/>
  <c r="DG40" i="22723" s="1"/>
  <c r="CY42" i="22723"/>
  <c r="CZ42" i="22723" s="1"/>
  <c r="CY41" i="22723"/>
  <c r="CZ41" i="22723" s="1"/>
  <c r="CY40" i="22723"/>
  <c r="CZ40" i="22723" s="1"/>
  <c r="CR42" i="22723"/>
  <c r="CS42" i="22723" s="1"/>
  <c r="CR41" i="22723"/>
  <c r="CS41" i="22723" s="1"/>
  <c r="CR40" i="22723"/>
  <c r="CS40" i="22723" s="1"/>
  <c r="CD42" i="22723"/>
  <c r="CE42" i="22723" s="1"/>
  <c r="CD41" i="22723"/>
  <c r="CE41" i="22723" s="1"/>
  <c r="CD40" i="22723"/>
  <c r="CE40" i="22723" s="1"/>
  <c r="BW42" i="22723"/>
  <c r="BX42" i="22723" s="1"/>
  <c r="BW41" i="22723"/>
  <c r="BX41" i="22723" s="1"/>
  <c r="BW40" i="22723"/>
  <c r="BX40" i="22723" s="1"/>
  <c r="BI42" i="22723"/>
  <c r="BJ42" i="22723" s="1"/>
  <c r="BI41" i="22723"/>
  <c r="BJ41" i="22723" s="1"/>
  <c r="BI40" i="22723"/>
  <c r="BJ40" i="22723" s="1"/>
  <c r="BB53" i="22723"/>
  <c r="BC53" i="22723" s="1"/>
  <c r="BB52" i="22723"/>
  <c r="BC52" i="22723" s="1"/>
  <c r="BB45" i="22723"/>
  <c r="BC45" i="22723" s="1"/>
  <c r="BB43" i="22723"/>
  <c r="BC43" i="22723" s="1"/>
  <c r="BB40" i="22723"/>
  <c r="BC40" i="22723" s="1"/>
  <c r="BB39" i="22723"/>
  <c r="BC39" i="22723" s="1"/>
  <c r="BB38" i="22723"/>
  <c r="BC38" i="22723" s="1"/>
  <c r="AU42" i="22723"/>
  <c r="AV42" i="22723" s="1"/>
  <c r="AU41" i="22723"/>
  <c r="AV41" i="22723" s="1"/>
  <c r="AU40" i="22723"/>
  <c r="AV40" i="22723" s="1"/>
  <c r="AO54" i="22723"/>
  <c r="AN47" i="22723"/>
  <c r="AO47" i="22723" s="1"/>
  <c r="AN46" i="22723"/>
  <c r="AO46" i="22723" s="1"/>
  <c r="AH54" i="22723"/>
  <c r="AG49" i="22723"/>
  <c r="AH49" i="22723" s="1"/>
  <c r="AG42" i="22723"/>
  <c r="AH42" i="22723" s="1"/>
  <c r="AG41" i="22723"/>
  <c r="AH41" i="22723" s="1"/>
  <c r="AG40" i="22723"/>
  <c r="AH40" i="22723" s="1"/>
  <c r="AG39" i="22723"/>
  <c r="AH39" i="22723" s="1"/>
  <c r="AG38" i="22723"/>
  <c r="AH38" i="22723" s="1"/>
  <c r="AA54" i="22723"/>
  <c r="Z46" i="22723"/>
  <c r="AA46" i="22723" s="1"/>
  <c r="CK42" i="22723"/>
  <c r="CL42" i="22723" s="1"/>
  <c r="CK41" i="22723"/>
  <c r="CL41" i="22723" s="1"/>
  <c r="CK40" i="22723"/>
  <c r="CL40" i="22723" s="1"/>
  <c r="BP51" i="22723"/>
  <c r="BQ51" i="22723" s="1"/>
  <c r="BP53" i="22723"/>
  <c r="BQ53" i="22723" s="1"/>
  <c r="BP52" i="22723"/>
  <c r="BQ52" i="22723" s="1"/>
  <c r="BP45" i="22723"/>
  <c r="BQ45" i="22723" s="1"/>
  <c r="BP43" i="22723"/>
  <c r="BQ43" i="22723" s="1"/>
  <c r="BP40" i="22723"/>
  <c r="BQ40" i="22723" s="1"/>
  <c r="BP39" i="22723"/>
  <c r="BQ39" i="22723" s="1"/>
  <c r="BP38" i="22723"/>
  <c r="BQ38" i="22723" s="1"/>
  <c r="DF49" i="22723"/>
  <c r="DG49" i="22723" s="1"/>
  <c r="DF45" i="22723"/>
  <c r="DG45" i="22723" s="1"/>
  <c r="DF43" i="22723"/>
  <c r="DG43" i="22723" s="1"/>
  <c r="DF39" i="22723"/>
  <c r="DG39" i="22723" s="1"/>
  <c r="DF38" i="22723"/>
  <c r="DG38" i="22723" s="1"/>
  <c r="CY49" i="22723"/>
  <c r="CZ49" i="22723" s="1"/>
  <c r="CY45" i="22723"/>
  <c r="CZ45" i="22723" s="1"/>
  <c r="CY43" i="22723"/>
  <c r="CZ43" i="22723" s="1"/>
  <c r="CY39" i="22723"/>
  <c r="CZ39" i="22723" s="1"/>
  <c r="CY38" i="22723"/>
  <c r="CZ38" i="22723" s="1"/>
  <c r="CR49" i="22723"/>
  <c r="CS49" i="22723" s="1"/>
  <c r="CR45" i="22723"/>
  <c r="CS45" i="22723" s="1"/>
  <c r="CR43" i="22723"/>
  <c r="CS43" i="22723" s="1"/>
  <c r="CR39" i="22723"/>
  <c r="CS39" i="22723" s="1"/>
  <c r="CR38" i="22723"/>
  <c r="CS38" i="22723" s="1"/>
  <c r="CD49" i="22723"/>
  <c r="CE49" i="22723" s="1"/>
  <c r="CD45" i="22723"/>
  <c r="CE45" i="22723" s="1"/>
  <c r="CD43" i="22723"/>
  <c r="CE43" i="22723" s="1"/>
  <c r="CD39" i="22723"/>
  <c r="CE39" i="22723" s="1"/>
  <c r="CD38" i="22723"/>
  <c r="CE38" i="22723" s="1"/>
  <c r="BW49" i="22723"/>
  <c r="BX49" i="22723" s="1"/>
  <c r="BW45" i="22723"/>
  <c r="BX45" i="22723" s="1"/>
  <c r="BW43" i="22723"/>
  <c r="BX43" i="22723" s="1"/>
  <c r="BW39" i="22723"/>
  <c r="BX39" i="22723" s="1"/>
  <c r="BW38" i="22723"/>
  <c r="BX38" i="22723" s="1"/>
  <c r="BI49" i="22723"/>
  <c r="BJ49" i="22723" s="1"/>
  <c r="BI45" i="22723"/>
  <c r="BJ45" i="22723" s="1"/>
  <c r="BI43" i="22723"/>
  <c r="BJ43" i="22723" s="1"/>
  <c r="BI39" i="22723"/>
  <c r="BJ39" i="22723" s="1"/>
  <c r="BI38" i="22723"/>
  <c r="BJ38" i="22723" s="1"/>
  <c r="BC54" i="22723"/>
  <c r="BB47" i="22723"/>
  <c r="BC47" i="22723" s="1"/>
  <c r="AU49" i="22723"/>
  <c r="AV49" i="22723" s="1"/>
  <c r="AU45" i="22723"/>
  <c r="AV45" i="22723" s="1"/>
  <c r="AU43" i="22723"/>
  <c r="AV43" i="22723" s="1"/>
  <c r="AU39" i="22723"/>
  <c r="AV39" i="22723" s="1"/>
  <c r="AU38" i="22723"/>
  <c r="AV38" i="22723" s="1"/>
  <c r="AN42" i="22723"/>
  <c r="AO42" i="22723" s="1"/>
  <c r="AN41" i="22723"/>
  <c r="AO41" i="22723" s="1"/>
  <c r="AN40" i="22723"/>
  <c r="AO40" i="22723" s="1"/>
  <c r="AG52" i="22723"/>
  <c r="AH52" i="22723" s="1"/>
  <c r="AG45" i="22723"/>
  <c r="AH45" i="22723" s="1"/>
  <c r="AG43" i="22723"/>
  <c r="AH43" i="22723" s="1"/>
  <c r="Z53" i="22723"/>
  <c r="AA53" i="22723" s="1"/>
  <c r="Z49" i="22723"/>
  <c r="Z42" i="22723"/>
  <c r="AA42" i="22723" s="1"/>
  <c r="Z41" i="22723"/>
  <c r="AA41" i="22723" s="1"/>
  <c r="Z40" i="22723"/>
  <c r="AA40" i="22723" s="1"/>
  <c r="Z39" i="22723"/>
  <c r="AA39" i="22723" s="1"/>
  <c r="CK45" i="22723"/>
  <c r="CL45" i="22723" s="1"/>
  <c r="CK43" i="22723"/>
  <c r="CL43" i="22723" s="1"/>
  <c r="CK39" i="22723"/>
  <c r="CL39" i="22723" s="1"/>
  <c r="CK38" i="22723"/>
  <c r="CL38" i="22723" s="1"/>
  <c r="CY53" i="22723"/>
  <c r="CZ53" i="22723" s="1"/>
  <c r="CD53" i="22723"/>
  <c r="CE53" i="22723" s="1"/>
  <c r="BI53" i="22723"/>
  <c r="BJ53" i="22723" s="1"/>
  <c r="AU53" i="22723"/>
  <c r="AV53" i="22723" s="1"/>
  <c r="AN49" i="22723"/>
  <c r="AO49" i="22723" s="1"/>
  <c r="AG53" i="22723"/>
  <c r="AH53" i="22723" s="1"/>
  <c r="S46" i="22723"/>
  <c r="T46" i="22723" s="1"/>
  <c r="S49" i="22723"/>
  <c r="T49" i="22723" s="1"/>
  <c r="L49" i="22723"/>
  <c r="M49" i="22723" s="1"/>
  <c r="L41" i="22723"/>
  <c r="M41" i="22723" s="1"/>
  <c r="E43" i="22723"/>
  <c r="F43" i="22723" s="1"/>
  <c r="E39" i="22723"/>
  <c r="F39" i="22723" s="1"/>
  <c r="E49" i="22723"/>
  <c r="F49" i="22723" s="1"/>
  <c r="E134" i="22714"/>
  <c r="D42" i="22714"/>
  <c r="E42" i="22714" s="1"/>
  <c r="E133" i="22714"/>
  <c r="F133" i="22714" s="1"/>
  <c r="E160" i="22714"/>
  <c r="F160" i="22714" s="1"/>
  <c r="BP47" i="22723"/>
  <c r="BQ47" i="22723" s="1"/>
  <c r="DF52" i="22723"/>
  <c r="DG52" i="22723" s="1"/>
  <c r="CR52" i="22723"/>
  <c r="CS52" i="22723" s="1"/>
  <c r="BW52" i="22723"/>
  <c r="BX52" i="22723" s="1"/>
  <c r="Z45" i="22723"/>
  <c r="AA45" i="22723" s="1"/>
  <c r="Z43" i="22723"/>
  <c r="S50" i="22723"/>
  <c r="T50" i="22723" s="1"/>
  <c r="T54" i="22723"/>
  <c r="S39" i="22723"/>
  <c r="T39" i="22723" s="1"/>
  <c r="M54" i="22723"/>
  <c r="L52" i="22723"/>
  <c r="M52" i="22723" s="1"/>
  <c r="L42" i="22723"/>
  <c r="M42" i="22723" s="1"/>
  <c r="E42" i="22723"/>
  <c r="F42" i="22723" s="1"/>
  <c r="E52" i="22723"/>
  <c r="F52" i="22723" s="1"/>
  <c r="E53" i="22723"/>
  <c r="F53" i="22723" s="1"/>
  <c r="E176" i="22714"/>
  <c r="E116" i="22714"/>
  <c r="E117" i="22714"/>
  <c r="F117" i="22714" s="1"/>
  <c r="E115" i="22714"/>
  <c r="F115" i="22714" s="1"/>
  <c r="CK49" i="22723"/>
  <c r="CL49" i="22723" s="1"/>
  <c r="BQ54" i="22723"/>
  <c r="DF53" i="22723"/>
  <c r="DG53" i="22723" s="1"/>
  <c r="CR53" i="22723"/>
  <c r="CS53" i="22723" s="1"/>
  <c r="BW53" i="22723"/>
  <c r="BX53" i="22723" s="1"/>
  <c r="AN45" i="22723"/>
  <c r="AO45" i="22723" s="1"/>
  <c r="AN39" i="22723"/>
  <c r="AO39" i="22723" s="1"/>
  <c r="AN38" i="22723"/>
  <c r="AO38" i="22723" s="1"/>
  <c r="AG47" i="22723"/>
  <c r="AH47" i="22723" s="1"/>
  <c r="Z38" i="22723"/>
  <c r="AA38" i="22723" s="1"/>
  <c r="S51" i="22723"/>
  <c r="T51" i="22723" s="1"/>
  <c r="S52" i="22723"/>
  <c r="T52" i="22723" s="1"/>
  <c r="S47" i="22723"/>
  <c r="T47" i="22723" s="1"/>
  <c r="S43" i="22723"/>
  <c r="T43" i="22723" s="1"/>
  <c r="S40" i="22723"/>
  <c r="T40" i="22723" s="1"/>
  <c r="L47" i="22723"/>
  <c r="M47" i="22723" s="1"/>
  <c r="L45" i="22723"/>
  <c r="M45" i="22723" s="1"/>
  <c r="L43" i="22723"/>
  <c r="M43" i="22723" s="1"/>
  <c r="L39" i="22723"/>
  <c r="M39" i="22723" s="1"/>
  <c r="E41" i="22723"/>
  <c r="F41" i="22723" s="1"/>
  <c r="E45" i="22723"/>
  <c r="F45" i="22723" s="1"/>
  <c r="AN43" i="22723"/>
  <c r="AO43" i="22723" s="1"/>
  <c r="S45" i="22723"/>
  <c r="T45" i="22723" s="1"/>
  <c r="BI52" i="22723"/>
  <c r="BJ52" i="22723" s="1"/>
  <c r="E40" i="22723"/>
  <c r="F40" i="22723" s="1"/>
  <c r="E173" i="22714"/>
  <c r="E174" i="22714"/>
  <c r="F174" i="22714" s="1"/>
  <c r="L40" i="22723"/>
  <c r="M40" i="22723" s="1"/>
  <c r="E47" i="22723"/>
  <c r="F47" i="22723" s="1"/>
  <c r="E159" i="22714"/>
  <c r="E177" i="22714"/>
  <c r="F177" i="22714" s="1"/>
  <c r="CY52" i="22723"/>
  <c r="CZ52" i="22723" s="1"/>
  <c r="AU52" i="22723"/>
  <c r="AV52" i="22723" s="1"/>
  <c r="E114" i="22714"/>
  <c r="CD52" i="22723"/>
  <c r="CE52" i="22723" s="1"/>
  <c r="BB46" i="22723"/>
  <c r="BC46" i="22723" s="1"/>
  <c r="S41" i="22723"/>
  <c r="T41" i="22723" s="1"/>
  <c r="D69" i="22714"/>
  <c r="F54" i="22723"/>
  <c r="D40" i="22714"/>
  <c r="D68" i="22714" s="1"/>
  <c r="E68" i="22714" s="1"/>
  <c r="D35" i="22714"/>
  <c r="E35" i="22714" s="1"/>
  <c r="D39" i="22714"/>
  <c r="E39" i="22714" s="1"/>
  <c r="H248" i="22715"/>
  <c r="C176" i="3"/>
  <c r="C177" i="3"/>
  <c r="H252" i="22715" s="1"/>
  <c r="C123" i="3"/>
  <c r="B148" i="22725" l="1"/>
  <c r="B168" i="22725"/>
  <c r="B176" i="22725" s="1"/>
  <c r="F51" i="22725"/>
  <c r="B145" i="22725"/>
  <c r="F50" i="22725"/>
  <c r="CE48" i="22723"/>
  <c r="CE55" i="22723" s="1"/>
  <c r="CZ48" i="22723"/>
  <c r="CZ55" i="22723" s="1"/>
  <c r="T48" i="22723"/>
  <c r="T55" i="22723" s="1"/>
  <c r="CL48" i="22723"/>
  <c r="CL55" i="22723" s="1"/>
  <c r="AV48" i="22723"/>
  <c r="AV55" i="22723" s="1"/>
  <c r="DG48" i="22723"/>
  <c r="DG55" i="22723" s="1"/>
  <c r="BQ48" i="22723"/>
  <c r="BQ55" i="22723" s="1"/>
  <c r="M48" i="22723"/>
  <c r="M55" i="22723" s="1"/>
  <c r="BX48" i="22723"/>
  <c r="BX55" i="22723" s="1"/>
  <c r="CS48" i="22723"/>
  <c r="CS55" i="22723" s="1"/>
  <c r="AH48" i="22723"/>
  <c r="AH55" i="22723" s="1"/>
  <c r="AO48" i="22723"/>
  <c r="AO55" i="22723" s="1"/>
  <c r="BJ48" i="22723"/>
  <c r="BJ55" i="22723" s="1"/>
  <c r="BC48" i="22723"/>
  <c r="BC55" i="22723" s="1"/>
  <c r="F48" i="22723"/>
  <c r="F55" i="22723" s="1"/>
  <c r="F134" i="22714"/>
  <c r="F176" i="22714"/>
  <c r="F159" i="22714"/>
  <c r="F116" i="22714"/>
  <c r="F173" i="22714"/>
  <c r="F114" i="22714"/>
  <c r="E69" i="22714"/>
  <c r="E71" i="22714" s="1"/>
  <c r="E40" i="22714"/>
  <c r="E41" i="22714" s="1"/>
  <c r="E44" i="22714" s="1"/>
  <c r="C178" i="3"/>
  <c r="H251" i="22715"/>
  <c r="B149" i="22725" l="1"/>
  <c r="B172" i="22725"/>
  <c r="F55" i="22725"/>
  <c r="K57" i="22725" s="1"/>
  <c r="B178" i="22725"/>
  <c r="C177" i="22725" s="1"/>
  <c r="J252" i="22715" s="1"/>
  <c r="B159" i="22725"/>
  <c r="B154" i="22725"/>
  <c r="B128" i="22725"/>
  <c r="F118" i="22714"/>
  <c r="F123" i="22714" s="1"/>
  <c r="G114" i="22714" s="1"/>
  <c r="F161" i="22714"/>
  <c r="F165" i="22714" s="1"/>
  <c r="G159" i="22714" s="1"/>
  <c r="F178" i="22714"/>
  <c r="F135" i="22714"/>
  <c r="E75" i="22714"/>
  <c r="E76" i="22714" s="1"/>
  <c r="E57" i="22714"/>
  <c r="E58" i="22714" s="1"/>
  <c r="F38" i="22714" s="1"/>
  <c r="J219" i="22715"/>
  <c r="I219" i="22715" s="1"/>
  <c r="J246" i="22715"/>
  <c r="I246" i="22715" s="1"/>
  <c r="I118" i="22714" l="1"/>
  <c r="I121" i="22714" s="1"/>
  <c r="C176" i="22725"/>
  <c r="C178" i="22725" s="1"/>
  <c r="J195" i="22715"/>
  <c r="B161" i="22725"/>
  <c r="C159" i="22725" s="1"/>
  <c r="J200" i="22715" s="1"/>
  <c r="C30" i="22725"/>
  <c r="F30" i="22725" s="1"/>
  <c r="G118" i="22714"/>
  <c r="G123" i="22714"/>
  <c r="G106" i="22714"/>
  <c r="G122" i="22714"/>
  <c r="G117" i="22714"/>
  <c r="G108" i="22714"/>
  <c r="G121" i="22714"/>
  <c r="G109" i="22714"/>
  <c r="G110" i="22714"/>
  <c r="G107" i="22714"/>
  <c r="G111" i="22714"/>
  <c r="G115" i="22714"/>
  <c r="F136" i="22714"/>
  <c r="E78" i="22714"/>
  <c r="F183" i="22714"/>
  <c r="C31" i="22725" s="1"/>
  <c r="F31" i="22725" s="1"/>
  <c r="G161" i="22714"/>
  <c r="G160" i="22714"/>
  <c r="G164" i="22714"/>
  <c r="G156" i="22714"/>
  <c r="G165" i="22714"/>
  <c r="G116" i="22714"/>
  <c r="F37" i="22714"/>
  <c r="F36" i="22714"/>
  <c r="F44" i="22714"/>
  <c r="F26" i="22714"/>
  <c r="F42" i="22714"/>
  <c r="F40" i="22714"/>
  <c r="F49" i="22714"/>
  <c r="F41" i="22714"/>
  <c r="F52" i="22714"/>
  <c r="F22" i="22714"/>
  <c r="F27" i="22714"/>
  <c r="F54" i="22714"/>
  <c r="F32" i="22714"/>
  <c r="F47" i="22714"/>
  <c r="F55" i="22714"/>
  <c r="F51" i="22714"/>
  <c r="F29" i="22714"/>
  <c r="F50" i="22714"/>
  <c r="F33" i="22714"/>
  <c r="F53" i="22714"/>
  <c r="F28" i="22714"/>
  <c r="F30" i="22714"/>
  <c r="F56" i="22714"/>
  <c r="F35" i="22714"/>
  <c r="F43" i="22714"/>
  <c r="F21" i="22714"/>
  <c r="F39" i="22714"/>
  <c r="F58" i="22714"/>
  <c r="F48" i="22714"/>
  <c r="F57" i="22714"/>
  <c r="F31" i="22714"/>
  <c r="J248" i="22715"/>
  <c r="I248" i="22715" s="1"/>
  <c r="G135" i="22714" l="1"/>
  <c r="F152" i="22714"/>
  <c r="J251" i="22715"/>
  <c r="C161" i="22725"/>
  <c r="J174" i="22715"/>
  <c r="C158" i="22725"/>
  <c r="J199" i="22715" s="1"/>
  <c r="C160" i="22725"/>
  <c r="J201" i="22715" s="1"/>
  <c r="G181" i="22714"/>
  <c r="G177" i="22714"/>
  <c r="G183" i="22714"/>
  <c r="G170" i="22714"/>
  <c r="G174" i="22714"/>
  <c r="G182" i="22714"/>
  <c r="G169" i="22714"/>
  <c r="G176" i="22714"/>
  <c r="G173" i="22714"/>
  <c r="G178" i="22714"/>
  <c r="G131" i="22714"/>
  <c r="G128" i="22714"/>
  <c r="G129" i="22714"/>
  <c r="G136" i="22714"/>
  <c r="G133" i="22714"/>
  <c r="G134" i="22714"/>
  <c r="E100" i="22714"/>
  <c r="E102" i="22714" s="1"/>
  <c r="F76" i="22714"/>
  <c r="F70" i="22714"/>
  <c r="F65" i="22714"/>
  <c r="F62" i="22714"/>
  <c r="F74" i="22714"/>
  <c r="F63" i="22714"/>
  <c r="F64" i="22714"/>
  <c r="F66" i="22714"/>
  <c r="F68" i="22714"/>
  <c r="F71" i="22714"/>
  <c r="F69" i="22714"/>
  <c r="F75" i="22714"/>
  <c r="J126" i="22715"/>
  <c r="I126" i="22715" s="1"/>
  <c r="I195" i="22715"/>
  <c r="J197" i="22715"/>
  <c r="I197" i="22715" s="1"/>
  <c r="D56" i="22715" l="1"/>
  <c r="F76" i="22723"/>
  <c r="E70" i="22723" s="1"/>
  <c r="I174" i="22715"/>
  <c r="E11" i="22714"/>
  <c r="G12" i="1"/>
  <c r="G10" i="22714" l="1"/>
  <c r="E12" i="22714"/>
  <c r="F64" i="1" l="1"/>
  <c r="F69" i="1" l="1"/>
  <c r="F70" i="1"/>
  <c r="F62" i="1"/>
  <c r="F71" i="1"/>
  <c r="F75" i="1"/>
  <c r="F74" i="1"/>
  <c r="F68" i="1"/>
  <c r="F65" i="1"/>
  <c r="F76" i="1"/>
  <c r="F63" i="1"/>
  <c r="F66" i="1"/>
  <c r="E102" i="1" l="1"/>
  <c r="C26" i="22726"/>
  <c r="E26" i="22726" s="1"/>
  <c r="F70" i="22723"/>
  <c r="J26" i="22726"/>
  <c r="B56" i="22715" l="1"/>
  <c r="C56" i="22715" s="1"/>
  <c r="F76" i="2"/>
  <c r="F26" i="22726"/>
  <c r="G26" i="22726"/>
  <c r="F71" i="22723"/>
  <c r="C26" i="5" l="1"/>
  <c r="E26" i="5" s="1"/>
  <c r="E70" i="2"/>
  <c r="F70" i="2" s="1"/>
  <c r="F71" i="2" s="1"/>
  <c r="F72" i="2" s="1"/>
  <c r="J26" i="5"/>
  <c r="F72" i="22723"/>
  <c r="G26" i="5" l="1"/>
  <c r="F26" i="5"/>
  <c r="F73" i="22723"/>
  <c r="G63" i="22723" s="1"/>
  <c r="F73" i="2"/>
  <c r="G54" i="22723" l="1"/>
  <c r="G52" i="22723"/>
  <c r="G53" i="22723"/>
  <c r="G21" i="22723"/>
  <c r="G20" i="22723"/>
  <c r="G19" i="22723"/>
  <c r="G22" i="22723"/>
  <c r="G16" i="22723"/>
  <c r="G14" i="22723"/>
  <c r="G16" i="2"/>
  <c r="G42" i="2"/>
  <c r="G41" i="2"/>
  <c r="G40" i="2"/>
  <c r="G21" i="2"/>
  <c r="G20" i="2"/>
  <c r="G19" i="2"/>
  <c r="G22" i="2"/>
  <c r="G63" i="2"/>
  <c r="G53" i="2"/>
  <c r="G52" i="2"/>
  <c r="G72" i="2"/>
  <c r="E27" i="5"/>
  <c r="F77" i="2"/>
  <c r="F75" i="2"/>
  <c r="G73" i="2"/>
  <c r="G43" i="2"/>
  <c r="G30" i="2"/>
  <c r="G34" i="2"/>
  <c r="G45" i="2"/>
  <c r="G32" i="2"/>
  <c r="G65" i="2"/>
  <c r="G38" i="2"/>
  <c r="G57" i="2"/>
  <c r="G29" i="2"/>
  <c r="G31" i="2"/>
  <c r="G58" i="2"/>
  <c r="G33" i="2"/>
  <c r="G46" i="2"/>
  <c r="G61" i="2"/>
  <c r="G55" i="2"/>
  <c r="G14" i="2"/>
  <c r="G60" i="2"/>
  <c r="G23" i="2"/>
  <c r="G15" i="2"/>
  <c r="G64" i="2"/>
  <c r="G47" i="2"/>
  <c r="G62" i="2"/>
  <c r="G54" i="2"/>
  <c r="G44" i="2"/>
  <c r="G67" i="2"/>
  <c r="G48" i="2"/>
  <c r="G17" i="2"/>
  <c r="G68" i="2"/>
  <c r="G28" i="2"/>
  <c r="G25" i="2"/>
  <c r="G49" i="2"/>
  <c r="G69" i="2"/>
  <c r="G66" i="2"/>
  <c r="G39" i="2"/>
  <c r="G36" i="2"/>
  <c r="G59" i="2"/>
  <c r="G35" i="2"/>
  <c r="G70" i="2"/>
  <c r="G71" i="2"/>
  <c r="G33" i="22723"/>
  <c r="G39" i="22723"/>
  <c r="G15" i="22723"/>
  <c r="G55" i="22723"/>
  <c r="G57" i="22723"/>
  <c r="F75" i="22723"/>
  <c r="G25" i="22723"/>
  <c r="G48" i="22723"/>
  <c r="G67" i="22723"/>
  <c r="G62" i="22723"/>
  <c r="F77" i="22723"/>
  <c r="G66" i="22723"/>
  <c r="G29" i="22723"/>
  <c r="G43" i="22723"/>
  <c r="G68" i="22723"/>
  <c r="G46" i="22723"/>
  <c r="G36" i="22723"/>
  <c r="G47" i="22723"/>
  <c r="G30" i="22723"/>
  <c r="G28" i="22723"/>
  <c r="G32" i="22723"/>
  <c r="G17" i="22723"/>
  <c r="G40" i="22723"/>
  <c r="G73" i="22723"/>
  <c r="G65" i="22723"/>
  <c r="G64" i="22723"/>
  <c r="G44" i="22723"/>
  <c r="E27" i="22726"/>
  <c r="G61" i="22723"/>
  <c r="G58" i="22723"/>
  <c r="G49" i="22723"/>
  <c r="G31" i="22723"/>
  <c r="G69" i="22723"/>
  <c r="G59" i="22723"/>
  <c r="G60" i="22723"/>
  <c r="G34" i="22723"/>
  <c r="G38" i="22723"/>
  <c r="G45" i="22723"/>
  <c r="G70" i="22723"/>
  <c r="G71" i="22723"/>
  <c r="G72" i="22723"/>
  <c r="G35" i="22723" l="1"/>
  <c r="F78" i="22723"/>
  <c r="C27" i="22726"/>
  <c r="M76" i="22723"/>
  <c r="L70" i="22723" s="1"/>
  <c r="M70" i="22723" s="1"/>
  <c r="M71" i="22723" s="1"/>
  <c r="F78" i="2"/>
  <c r="J27" i="5" s="1"/>
  <c r="C27" i="5"/>
  <c r="M76" i="2"/>
  <c r="L70" i="2" s="1"/>
  <c r="M70" i="2" s="1"/>
  <c r="F27" i="22726"/>
  <c r="G27" i="22726"/>
  <c r="G27" i="5"/>
  <c r="F27" i="5"/>
  <c r="N52" i="22723" l="1"/>
  <c r="N53" i="22723"/>
  <c r="J27" i="22726"/>
  <c r="G41" i="22723"/>
  <c r="G42" i="22723"/>
  <c r="M71" i="2"/>
  <c r="M72" i="2" l="1"/>
  <c r="M72" i="22723"/>
  <c r="M73" i="22723" l="1"/>
  <c r="N63" i="22723" s="1"/>
  <c r="M73" i="2"/>
  <c r="N33" i="2" l="1"/>
  <c r="N34" i="2"/>
  <c r="N35" i="2"/>
  <c r="N16" i="22723"/>
  <c r="N20" i="22723"/>
  <c r="N19" i="22723"/>
  <c r="N21" i="22723"/>
  <c r="N22" i="22723"/>
  <c r="N16" i="2"/>
  <c r="N40" i="2"/>
  <c r="N42" i="2"/>
  <c r="N41" i="2"/>
  <c r="N21" i="2"/>
  <c r="N20" i="2"/>
  <c r="N19" i="2"/>
  <c r="N22" i="2"/>
  <c r="N63" i="2"/>
  <c r="N53" i="2"/>
  <c r="N52" i="2"/>
  <c r="N59" i="2"/>
  <c r="N46" i="2"/>
  <c r="N29" i="2"/>
  <c r="N47" i="2"/>
  <c r="M75" i="2"/>
  <c r="N30" i="2"/>
  <c r="N68" i="2"/>
  <c r="N58" i="2"/>
  <c r="N66" i="2"/>
  <c r="M77" i="2"/>
  <c r="N67" i="2"/>
  <c r="N45" i="2"/>
  <c r="N57" i="2"/>
  <c r="N43" i="2"/>
  <c r="N65" i="2"/>
  <c r="N48" i="2"/>
  <c r="N23" i="2"/>
  <c r="N38" i="2"/>
  <c r="N39" i="2"/>
  <c r="E28" i="5"/>
  <c r="N55" i="2"/>
  <c r="N64" i="2"/>
  <c r="N61" i="2"/>
  <c r="N15" i="2"/>
  <c r="N14" i="2"/>
  <c r="N44" i="2"/>
  <c r="N49" i="2"/>
  <c r="N24" i="2"/>
  <c r="N73" i="2"/>
  <c r="N60" i="2"/>
  <c r="N36" i="2"/>
  <c r="N17" i="2"/>
  <c r="N62" i="2"/>
  <c r="N25" i="2"/>
  <c r="N54" i="2"/>
  <c r="N32" i="2"/>
  <c r="N69" i="2"/>
  <c r="N28" i="2"/>
  <c r="N31" i="2"/>
  <c r="N70" i="2"/>
  <c r="N71" i="2"/>
  <c r="N72" i="2"/>
  <c r="M77" i="22723"/>
  <c r="N33" i="22723"/>
  <c r="N40" i="22723"/>
  <c r="N54" i="22723"/>
  <c r="N62" i="22723"/>
  <c r="N57" i="22723"/>
  <c r="N66" i="22723"/>
  <c r="N15" i="22723"/>
  <c r="N17" i="22723"/>
  <c r="N49" i="22723"/>
  <c r="N34" i="22723"/>
  <c r="N55" i="22723"/>
  <c r="N59" i="22723"/>
  <c r="N29" i="22723"/>
  <c r="N43" i="22723"/>
  <c r="N64" i="22723"/>
  <c r="N67" i="22723"/>
  <c r="N61" i="22723"/>
  <c r="N45" i="22723"/>
  <c r="N68" i="22723"/>
  <c r="N65" i="22723"/>
  <c r="N38" i="22723"/>
  <c r="N48" i="22723"/>
  <c r="N39" i="22723"/>
  <c r="N46" i="22723"/>
  <c r="M75" i="22723"/>
  <c r="N14" i="22723"/>
  <c r="N47" i="22723"/>
  <c r="N32" i="22723"/>
  <c r="E28" i="22726"/>
  <c r="N31" i="22723"/>
  <c r="N69" i="22723"/>
  <c r="N36" i="22723"/>
  <c r="N25" i="22723"/>
  <c r="N60" i="22723"/>
  <c r="N30" i="22723"/>
  <c r="N44" i="22723"/>
  <c r="N73" i="22723"/>
  <c r="N58" i="22723"/>
  <c r="N70" i="22723"/>
  <c r="N71" i="22723"/>
  <c r="N72" i="22723"/>
  <c r="G28" i="22726" l="1"/>
  <c r="F28" i="22726"/>
  <c r="N35" i="22723"/>
  <c r="G28" i="5"/>
  <c r="F28" i="5"/>
  <c r="T76" i="2"/>
  <c r="S70" i="2" s="1"/>
  <c r="T70" i="2" s="1"/>
  <c r="M78" i="2"/>
  <c r="J28" i="5" s="1"/>
  <c r="C28" i="5"/>
  <c r="T76" i="22723"/>
  <c r="S70" i="22723" s="1"/>
  <c r="T70" i="22723" s="1"/>
  <c r="C28" i="22726"/>
  <c r="M78" i="22723"/>
  <c r="U52" i="22723" l="1"/>
  <c r="U53" i="22723"/>
  <c r="J28" i="22726"/>
  <c r="N41" i="22723"/>
  <c r="N42" i="22723"/>
  <c r="T71" i="22723"/>
  <c r="T71" i="2"/>
  <c r="U50" i="22723" l="1"/>
  <c r="U51" i="22723"/>
  <c r="T72" i="22723"/>
  <c r="T72" i="2"/>
  <c r="T73" i="2" l="1"/>
  <c r="T73" i="22723"/>
  <c r="U33" i="2" l="1"/>
  <c r="U34" i="2"/>
  <c r="U35" i="2"/>
  <c r="U26" i="22723"/>
  <c r="U63" i="22723"/>
  <c r="U16" i="22723"/>
  <c r="U19" i="22723"/>
  <c r="U22" i="22723"/>
  <c r="U21" i="22723"/>
  <c r="U20" i="22723"/>
  <c r="U16" i="2"/>
  <c r="U41" i="2"/>
  <c r="U42" i="2"/>
  <c r="U40" i="2"/>
  <c r="U21" i="2"/>
  <c r="U20" i="2"/>
  <c r="U19" i="2"/>
  <c r="U22" i="2"/>
  <c r="U15" i="2"/>
  <c r="U50" i="2"/>
  <c r="U51" i="2"/>
  <c r="U53" i="2"/>
  <c r="U52" i="2"/>
  <c r="U63" i="2"/>
  <c r="U26" i="2"/>
  <c r="U46" i="22723"/>
  <c r="U60" i="22723"/>
  <c r="U57" i="22723"/>
  <c r="U39" i="22723"/>
  <c r="U66" i="22723"/>
  <c r="U30" i="22723"/>
  <c r="U64" i="22723"/>
  <c r="U14" i="22723"/>
  <c r="U40" i="22723"/>
  <c r="U24" i="22723"/>
  <c r="U33" i="22723"/>
  <c r="E29" i="22726"/>
  <c r="U69" i="22723"/>
  <c r="U65" i="22723"/>
  <c r="U29" i="22723"/>
  <c r="U25" i="22723"/>
  <c r="U43" i="22723"/>
  <c r="U48" i="22723"/>
  <c r="U31" i="22723"/>
  <c r="U17" i="22723"/>
  <c r="U45" i="22723"/>
  <c r="U55" i="22723"/>
  <c r="U68" i="22723"/>
  <c r="U34" i="22723"/>
  <c r="U54" i="22723"/>
  <c r="U28" i="22723"/>
  <c r="U62" i="22723"/>
  <c r="U58" i="22723"/>
  <c r="U67" i="22723"/>
  <c r="U36" i="22723"/>
  <c r="U61" i="22723"/>
  <c r="T77" i="22723"/>
  <c r="U49" i="22723"/>
  <c r="T75" i="22723"/>
  <c r="U47" i="22723"/>
  <c r="U59" i="22723"/>
  <c r="U38" i="22723"/>
  <c r="U73" i="22723"/>
  <c r="U44" i="22723"/>
  <c r="U15" i="22723"/>
  <c r="U32" i="22723"/>
  <c r="U27" i="22723"/>
  <c r="U70" i="22723"/>
  <c r="U71" i="22723"/>
  <c r="U72" i="22723"/>
  <c r="E29" i="5"/>
  <c r="T77" i="2"/>
  <c r="U49" i="2"/>
  <c r="U30" i="2"/>
  <c r="T75" i="2"/>
  <c r="U31" i="2"/>
  <c r="U44" i="2"/>
  <c r="U54" i="2"/>
  <c r="U29" i="2"/>
  <c r="U65" i="2"/>
  <c r="U60" i="2"/>
  <c r="U32" i="2"/>
  <c r="U62" i="2"/>
  <c r="U57" i="2"/>
  <c r="U55" i="2"/>
  <c r="U24" i="2"/>
  <c r="U69" i="2"/>
  <c r="U58" i="2"/>
  <c r="U64" i="2"/>
  <c r="U17" i="2"/>
  <c r="U39" i="2"/>
  <c r="U28" i="2"/>
  <c r="U46" i="2"/>
  <c r="U25" i="2"/>
  <c r="U68" i="2"/>
  <c r="U45" i="2"/>
  <c r="U14" i="2"/>
  <c r="U47" i="2"/>
  <c r="U48" i="2"/>
  <c r="U67" i="2"/>
  <c r="U38" i="2"/>
  <c r="U43" i="2"/>
  <c r="U73" i="2"/>
  <c r="U66" i="2"/>
  <c r="U36" i="2"/>
  <c r="U59" i="2"/>
  <c r="U61" i="2"/>
  <c r="U27" i="2"/>
  <c r="U70" i="2"/>
  <c r="U71" i="2"/>
  <c r="U72" i="2"/>
  <c r="AA76" i="2" l="1"/>
  <c r="Z70" i="2" s="1"/>
  <c r="AA70" i="2" s="1"/>
  <c r="T78" i="2"/>
  <c r="J29" i="5" s="1"/>
  <c r="C29" i="5"/>
  <c r="T78" i="22723"/>
  <c r="C29" i="22726"/>
  <c r="AA76" i="22723"/>
  <c r="Z70" i="22723" s="1"/>
  <c r="AA70" i="22723" s="1"/>
  <c r="AA71" i="22723" s="1"/>
  <c r="G29" i="22726"/>
  <c r="F29" i="22726"/>
  <c r="F29" i="5"/>
  <c r="G29" i="5"/>
  <c r="AB52" i="22723" l="1"/>
  <c r="AB53" i="22723"/>
  <c r="J29" i="22726"/>
  <c r="U41" i="22723"/>
  <c r="U42" i="22723"/>
  <c r="AA71" i="2"/>
  <c r="D44" i="4"/>
  <c r="Y10" i="22723" s="1"/>
  <c r="E60" i="16"/>
  <c r="E58" i="16"/>
  <c r="E57" i="16"/>
  <c r="Y67" i="22723" l="1"/>
  <c r="Y8" i="22723"/>
  <c r="Y9" i="22723"/>
  <c r="D58" i="4"/>
  <c r="E58" i="4" s="1"/>
  <c r="D60" i="4"/>
  <c r="E60" i="4" s="1"/>
  <c r="E44" i="4"/>
  <c r="Y10" i="2"/>
  <c r="D57" i="4"/>
  <c r="E57" i="4" s="1"/>
  <c r="AA29" i="22723" l="1"/>
  <c r="X9" i="22723"/>
  <c r="AA9" i="22723"/>
  <c r="AA8" i="22723"/>
  <c r="X8" i="22723"/>
  <c r="W68" i="22723"/>
  <c r="X44" i="22723"/>
  <c r="Y43" i="22723" s="1"/>
  <c r="Y68" i="22723"/>
  <c r="AA67" i="22723"/>
  <c r="AA68" i="22723" s="1"/>
  <c r="Y67" i="2"/>
  <c r="AA67" i="2" s="1"/>
  <c r="H30" i="5"/>
  <c r="I30" i="5" s="1"/>
  <c r="Y8" i="2"/>
  <c r="AA30" i="2"/>
  <c r="Y9" i="2"/>
  <c r="AA29" i="2" s="1"/>
  <c r="H30" i="22726"/>
  <c r="I30" i="22726" s="1"/>
  <c r="AA30" i="22723"/>
  <c r="AA10" i="22723" l="1"/>
  <c r="Y48" i="22723"/>
  <c r="Y49" i="22723" s="1"/>
  <c r="AA49" i="22723" s="1"/>
  <c r="AA43" i="22723"/>
  <c r="AA48" i="22723" s="1"/>
  <c r="X10" i="22723"/>
  <c r="X9" i="2"/>
  <c r="AA9" i="2"/>
  <c r="X8" i="2"/>
  <c r="AA8" i="2"/>
  <c r="X44" i="2"/>
  <c r="Y43" i="2" s="1"/>
  <c r="Y48" i="2" s="1"/>
  <c r="Y68" i="2"/>
  <c r="W68" i="2"/>
  <c r="AA55" i="22723" l="1"/>
  <c r="AA12" i="22723"/>
  <c r="D30" i="22726" s="1"/>
  <c r="AA68" i="2"/>
  <c r="X10" i="2"/>
  <c r="AA10" i="2"/>
  <c r="AA12" i="2" s="1"/>
  <c r="AA43" i="2"/>
  <c r="Y49" i="2"/>
  <c r="AA49" i="2" s="1"/>
  <c r="AA31" i="22723"/>
  <c r="AA35" i="22723" s="1"/>
  <c r="AA31" i="2"/>
  <c r="AA74" i="22723" l="1"/>
  <c r="AA35" i="2"/>
  <c r="D30" i="5"/>
  <c r="AA74" i="2"/>
  <c r="AA48" i="2"/>
  <c r="AA72" i="22723" l="1"/>
  <c r="AA55" i="2"/>
  <c r="AA72" i="2" l="1"/>
  <c r="AA73" i="22723"/>
  <c r="AB63" i="22723" s="1"/>
  <c r="AB19" i="22723" l="1"/>
  <c r="AB22" i="22723"/>
  <c r="AB21" i="22723"/>
  <c r="AB20" i="22723"/>
  <c r="AB72" i="22723"/>
  <c r="AB16" i="22723"/>
  <c r="AI33" i="22723"/>
  <c r="AB61" i="22723"/>
  <c r="AB39" i="22723"/>
  <c r="AB58" i="22723"/>
  <c r="AB65" i="22723"/>
  <c r="U35" i="22723"/>
  <c r="AB32" i="22723"/>
  <c r="AI34" i="22723"/>
  <c r="AA77" i="22723"/>
  <c r="AB45" i="22723"/>
  <c r="AB15" i="22723"/>
  <c r="AB40" i="22723"/>
  <c r="AB64" i="22723"/>
  <c r="AB62" i="22723"/>
  <c r="AB25" i="22723"/>
  <c r="AB69" i="22723"/>
  <c r="AB66" i="22723"/>
  <c r="AB14" i="22723"/>
  <c r="E30" i="22726"/>
  <c r="AB17" i="22723"/>
  <c r="AB44" i="22723"/>
  <c r="AB34" i="22723"/>
  <c r="AB38" i="22723"/>
  <c r="AB46" i="22723"/>
  <c r="AB28" i="22723"/>
  <c r="AB70" i="22723"/>
  <c r="AB36" i="22723"/>
  <c r="AB54" i="22723"/>
  <c r="AB73" i="22723"/>
  <c r="AB59" i="22723"/>
  <c r="AB33" i="22723"/>
  <c r="AB47" i="22723"/>
  <c r="AB60" i="22723"/>
  <c r="AB71" i="22723"/>
  <c r="AB57" i="22723"/>
  <c r="AB30" i="22723"/>
  <c r="AB29" i="22723"/>
  <c r="AB67" i="22723"/>
  <c r="AB68" i="22723"/>
  <c r="AB49" i="22723"/>
  <c r="AB31" i="22723"/>
  <c r="AB43" i="22723"/>
  <c r="AA75" i="22723"/>
  <c r="AB55" i="22723"/>
  <c r="AB48" i="22723"/>
  <c r="AA73" i="2"/>
  <c r="AB35" i="2" l="1"/>
  <c r="AB34" i="2"/>
  <c r="AB33" i="2"/>
  <c r="AB41" i="2"/>
  <c r="AB42" i="2"/>
  <c r="AB40" i="2"/>
  <c r="AB21" i="2"/>
  <c r="AB20" i="2"/>
  <c r="AB19" i="2"/>
  <c r="AB22" i="2"/>
  <c r="AB16" i="2"/>
  <c r="AA78" i="22723"/>
  <c r="C29" i="22725" s="1"/>
  <c r="C30" i="22726"/>
  <c r="AH76" i="22723"/>
  <c r="AG70" i="22723" s="1"/>
  <c r="AH70" i="22723" s="1"/>
  <c r="AH71" i="22723" s="1"/>
  <c r="F30" i="22726"/>
  <c r="G30" i="22726"/>
  <c r="AB69" i="2"/>
  <c r="AB46" i="2"/>
  <c r="AB36" i="2"/>
  <c r="AB58" i="2"/>
  <c r="AB64" i="2"/>
  <c r="AB52" i="2"/>
  <c r="AB57" i="2"/>
  <c r="E30" i="5"/>
  <c r="AB70" i="2"/>
  <c r="AB54" i="2"/>
  <c r="AB39" i="2"/>
  <c r="AB17" i="2"/>
  <c r="AB38" i="2"/>
  <c r="AB71" i="2"/>
  <c r="AB73" i="2"/>
  <c r="AB62" i="2"/>
  <c r="AB28" i="2"/>
  <c r="AB45" i="2"/>
  <c r="AB32" i="2"/>
  <c r="AB63" i="2"/>
  <c r="AB25" i="2"/>
  <c r="AB59" i="2"/>
  <c r="AB53" i="2"/>
  <c r="AA77" i="2"/>
  <c r="AB44" i="2"/>
  <c r="AB15" i="2"/>
  <c r="AB14" i="2"/>
  <c r="AB66" i="2"/>
  <c r="AB60" i="2"/>
  <c r="AB65" i="2"/>
  <c r="AB61" i="2"/>
  <c r="AB47" i="2"/>
  <c r="AB30" i="2"/>
  <c r="AB67" i="2"/>
  <c r="AB29" i="2"/>
  <c r="AB31" i="2"/>
  <c r="AB68" i="2"/>
  <c r="AB49" i="2"/>
  <c r="AB43" i="2"/>
  <c r="AA75" i="2"/>
  <c r="AB48" i="2"/>
  <c r="AB55" i="2"/>
  <c r="AB72" i="2"/>
  <c r="AB35" i="22723"/>
  <c r="F29" i="22725" l="1"/>
  <c r="F32" i="22725" s="1"/>
  <c r="C32" i="22725"/>
  <c r="AI52" i="22723"/>
  <c r="AI53" i="22723"/>
  <c r="AB41" i="22723"/>
  <c r="AB42" i="22723"/>
  <c r="G30" i="5"/>
  <c r="F30" i="5"/>
  <c r="C30" i="5"/>
  <c r="AH76" i="2"/>
  <c r="AG70" i="2" s="1"/>
  <c r="AH70" i="2" s="1"/>
  <c r="AA78" i="2"/>
  <c r="AH78" i="22723"/>
  <c r="J30" i="22726"/>
  <c r="D58" i="22715" l="1"/>
  <c r="F37" i="22725"/>
  <c r="E70" i="22725"/>
  <c r="F70" i="22725" s="1"/>
  <c r="F71" i="22725" s="1"/>
  <c r="F72" i="22725" s="1"/>
  <c r="D57" i="22715"/>
  <c r="B127" i="22725"/>
  <c r="AI42" i="22723"/>
  <c r="AI41" i="22723"/>
  <c r="AO78" i="22723"/>
  <c r="J31" i="22726"/>
  <c r="C29" i="3"/>
  <c r="J30" i="5"/>
  <c r="AH78" i="2"/>
  <c r="AH71" i="2"/>
  <c r="AH72" i="22723"/>
  <c r="C81" i="22725" l="1"/>
  <c r="F81" i="22725"/>
  <c r="F73" i="22725"/>
  <c r="AP42" i="22723"/>
  <c r="AP41" i="22723"/>
  <c r="C32" i="3"/>
  <c r="B57" i="22715" s="1"/>
  <c r="F29" i="3"/>
  <c r="B101" i="22725"/>
  <c r="AH72" i="2"/>
  <c r="AH73" i="22723"/>
  <c r="J31" i="5"/>
  <c r="AO78" i="2"/>
  <c r="AV78" i="22723"/>
  <c r="J32" i="22726"/>
  <c r="F74" i="22725" l="1"/>
  <c r="F76" i="22725" s="1"/>
  <c r="B173" i="22725"/>
  <c r="C173" i="22725" s="1"/>
  <c r="B155" i="22725"/>
  <c r="C147" i="22725"/>
  <c r="C145" i="22725"/>
  <c r="C142" i="22725"/>
  <c r="C148" i="22725"/>
  <c r="C154" i="22725"/>
  <c r="J178" i="22715" s="1"/>
  <c r="C152" i="22725"/>
  <c r="C170" i="22725"/>
  <c r="C168" i="22725"/>
  <c r="C167" i="22725"/>
  <c r="C172" i="22725"/>
  <c r="E89" i="22725"/>
  <c r="F89" i="22725" s="1"/>
  <c r="F86" i="22725"/>
  <c r="G50" i="22725"/>
  <c r="E88" i="22725"/>
  <c r="F88" i="22725" s="1"/>
  <c r="D53" i="22726" s="1"/>
  <c r="K85" i="22725"/>
  <c r="K86" i="22725" s="1"/>
  <c r="G47" i="22725"/>
  <c r="G51" i="22725"/>
  <c r="G48" i="22725"/>
  <c r="F77" i="22725"/>
  <c r="F78" i="22725" s="1"/>
  <c r="G57" i="22725"/>
  <c r="F75" i="22725"/>
  <c r="AI63" i="22723"/>
  <c r="AW41" i="22723"/>
  <c r="AW42" i="22723"/>
  <c r="AI20" i="22723"/>
  <c r="AI19" i="22723"/>
  <c r="AI22" i="22723"/>
  <c r="AI16" i="22723"/>
  <c r="AI21" i="22723"/>
  <c r="E70" i="3"/>
  <c r="F70" i="3" s="1"/>
  <c r="F71" i="3" s="1"/>
  <c r="C57" i="22715"/>
  <c r="AI43" i="22723"/>
  <c r="AI40" i="22723"/>
  <c r="AI55" i="22723"/>
  <c r="AI14" i="22723"/>
  <c r="AI60" i="22723"/>
  <c r="AI25" i="22723"/>
  <c r="AI45" i="22723"/>
  <c r="AI44" i="22723"/>
  <c r="AH75" i="22723"/>
  <c r="AI32" i="22723"/>
  <c r="AI47" i="22723"/>
  <c r="AI46" i="22723"/>
  <c r="AI66" i="22723"/>
  <c r="AI54" i="22723"/>
  <c r="AH77" i="22723"/>
  <c r="AI30" i="22723"/>
  <c r="AI62" i="22723"/>
  <c r="AI61" i="22723"/>
  <c r="AI57" i="22723"/>
  <c r="AI15" i="22723"/>
  <c r="AI68" i="22723"/>
  <c r="AI29" i="22723"/>
  <c r="AI65" i="22723"/>
  <c r="AI17" i="22723"/>
  <c r="AI31" i="22723"/>
  <c r="AI69" i="22723"/>
  <c r="E31" i="22726"/>
  <c r="AI28" i="22723"/>
  <c r="AI67" i="22723"/>
  <c r="AI59" i="22723"/>
  <c r="AI39" i="22723"/>
  <c r="AI36" i="22723"/>
  <c r="AI48" i="22723"/>
  <c r="AI64" i="22723"/>
  <c r="AI38" i="22723"/>
  <c r="AI73" i="22723"/>
  <c r="AI49" i="22723"/>
  <c r="AI58" i="22723"/>
  <c r="AI70" i="22723"/>
  <c r="AI71" i="22723"/>
  <c r="J33" i="22726"/>
  <c r="BC78" i="22723"/>
  <c r="B102" i="22725"/>
  <c r="C100" i="22725" s="1"/>
  <c r="J97" i="22715"/>
  <c r="J98" i="22715" s="1"/>
  <c r="J32" i="5"/>
  <c r="AV78" i="2"/>
  <c r="B94" i="22725"/>
  <c r="D59" i="22715"/>
  <c r="AH73" i="2"/>
  <c r="F32" i="3"/>
  <c r="B58" i="22715" s="1"/>
  <c r="C58" i="22715" s="1"/>
  <c r="AI72" i="22723"/>
  <c r="AI35" i="2" l="1"/>
  <c r="AI34" i="2"/>
  <c r="AI33" i="2"/>
  <c r="B101" i="3"/>
  <c r="B102" i="3" s="1"/>
  <c r="C100" i="3" s="1"/>
  <c r="C155" i="22725"/>
  <c r="J179" i="22715" s="1"/>
  <c r="J175" i="22715"/>
  <c r="J176" i="22715" s="1"/>
  <c r="D54" i="22726"/>
  <c r="D54" i="22715"/>
  <c r="F79" i="22725"/>
  <c r="F80" i="22725"/>
  <c r="C149" i="22725"/>
  <c r="F85" i="22725"/>
  <c r="BD42" i="22723"/>
  <c r="BD41" i="22723"/>
  <c r="AI16" i="2"/>
  <c r="AI42" i="2"/>
  <c r="AI41" i="2"/>
  <c r="AI40" i="2"/>
  <c r="AI72" i="2"/>
  <c r="AI21" i="2"/>
  <c r="AI19" i="2"/>
  <c r="AI20" i="2"/>
  <c r="AI22" i="2"/>
  <c r="D64" i="22715"/>
  <c r="J33" i="5"/>
  <c r="BC78" i="2"/>
  <c r="J100" i="22715"/>
  <c r="C31" i="22726"/>
  <c r="AO76" i="22723"/>
  <c r="AN70" i="22723" s="1"/>
  <c r="AO70" i="22723" s="1"/>
  <c r="AO71" i="22723" s="1"/>
  <c r="B127" i="3"/>
  <c r="F81" i="3"/>
  <c r="B134" i="22725"/>
  <c r="D65" i="22715"/>
  <c r="B59" i="22715"/>
  <c r="C59" i="22715" s="1"/>
  <c r="F72" i="3"/>
  <c r="B94" i="3"/>
  <c r="J34" i="22726"/>
  <c r="BJ78" i="22723"/>
  <c r="F31" i="22726"/>
  <c r="G31" i="22726"/>
  <c r="J125" i="22715"/>
  <c r="J84" i="22715"/>
  <c r="AH77" i="2"/>
  <c r="E31" i="5"/>
  <c r="AI57" i="2"/>
  <c r="AI15" i="2"/>
  <c r="AI59" i="2"/>
  <c r="AI60" i="2"/>
  <c r="AI46" i="2"/>
  <c r="AI17" i="2"/>
  <c r="AI32" i="2"/>
  <c r="AI54" i="2"/>
  <c r="AI14" i="2"/>
  <c r="AI61" i="2"/>
  <c r="AI28" i="2"/>
  <c r="AI65" i="2"/>
  <c r="AI29" i="2"/>
  <c r="AI36" i="2"/>
  <c r="AI62" i="2"/>
  <c r="AI43" i="2"/>
  <c r="AI45" i="2"/>
  <c r="AI30" i="2"/>
  <c r="AI55" i="2"/>
  <c r="AI44" i="2"/>
  <c r="AI63" i="2"/>
  <c r="AI31" i="2"/>
  <c r="AI58" i="2"/>
  <c r="AI73" i="2"/>
  <c r="AH75" i="2"/>
  <c r="AI25" i="2"/>
  <c r="AI48" i="2"/>
  <c r="AI53" i="2"/>
  <c r="AI39" i="2"/>
  <c r="AI68" i="2"/>
  <c r="AI47" i="2"/>
  <c r="AI49" i="2"/>
  <c r="AI38" i="2"/>
  <c r="AI67" i="2"/>
  <c r="AI69" i="2"/>
  <c r="AI64" i="2"/>
  <c r="AI66" i="2"/>
  <c r="AI52" i="2"/>
  <c r="AI70" i="2"/>
  <c r="AI71" i="2"/>
  <c r="B135" i="22725"/>
  <c r="D66" i="22715"/>
  <c r="C101" i="22725"/>
  <c r="J101" i="22715" s="1"/>
  <c r="H97" i="22715" l="1"/>
  <c r="I97" i="22715" s="1"/>
  <c r="G37" i="22725"/>
  <c r="G31" i="22725"/>
  <c r="G15" i="22725"/>
  <c r="G32" i="22725"/>
  <c r="G28" i="22725"/>
  <c r="AP53" i="22723"/>
  <c r="AP52" i="22723"/>
  <c r="BK41" i="22723"/>
  <c r="BK42" i="22723"/>
  <c r="C81" i="3"/>
  <c r="B64" i="22715"/>
  <c r="C64" i="22715" s="1"/>
  <c r="F31" i="5"/>
  <c r="G31" i="5"/>
  <c r="B135" i="3"/>
  <c r="B66" i="22715"/>
  <c r="C66" i="22715" s="1"/>
  <c r="F73" i="3"/>
  <c r="C101" i="3"/>
  <c r="H101" i="22715" s="1"/>
  <c r="B136" i="22725"/>
  <c r="C134" i="22725" s="1"/>
  <c r="J152" i="22715"/>
  <c r="C102" i="22725"/>
  <c r="C31" i="5"/>
  <c r="AO76" i="2"/>
  <c r="AN70" i="2" s="1"/>
  <c r="AO70" i="2" s="1"/>
  <c r="BQ78" i="22723"/>
  <c r="J35" i="22726"/>
  <c r="H125" i="22715"/>
  <c r="BJ78" i="2"/>
  <c r="J34" i="5"/>
  <c r="J153" i="22715"/>
  <c r="H100" i="22715"/>
  <c r="B96" i="22725"/>
  <c r="B129" i="22725" s="1"/>
  <c r="B130" i="22725" s="1"/>
  <c r="G19" i="22725"/>
  <c r="G45" i="22725"/>
  <c r="D50" i="22715"/>
  <c r="G52" i="22725"/>
  <c r="G23" i="22725"/>
  <c r="G62" i="22725"/>
  <c r="G43" i="22725"/>
  <c r="G18" i="22725"/>
  <c r="G34" i="22725"/>
  <c r="G25" i="22725"/>
  <c r="G63" i="22725"/>
  <c r="G20" i="22725"/>
  <c r="G14" i="22725"/>
  <c r="G66" i="22725"/>
  <c r="G55" i="22725"/>
  <c r="G61" i="22725"/>
  <c r="G60" i="22725"/>
  <c r="J224" i="22715"/>
  <c r="G41" i="22725"/>
  <c r="G53" i="22725"/>
  <c r="G38" i="22725"/>
  <c r="G26" i="22725"/>
  <c r="G65" i="22725"/>
  <c r="G69" i="22725"/>
  <c r="G27" i="22725"/>
  <c r="G44" i="22725"/>
  <c r="G21" i="22725"/>
  <c r="G36" i="22725"/>
  <c r="G40" i="22725"/>
  <c r="D51" i="22715"/>
  <c r="J12" i="22715" s="1"/>
  <c r="G68" i="22725"/>
  <c r="G73" i="22725"/>
  <c r="G30" i="22725"/>
  <c r="G58" i="22725"/>
  <c r="G13" i="22725"/>
  <c r="G54" i="22725"/>
  <c r="G49" i="22725"/>
  <c r="G42" i="22725"/>
  <c r="G67" i="22725"/>
  <c r="G59" i="22725"/>
  <c r="J45" i="22715"/>
  <c r="G35" i="22725"/>
  <c r="G64" i="22725"/>
  <c r="G16" i="22725"/>
  <c r="G29" i="22725"/>
  <c r="G70" i="22725"/>
  <c r="G71" i="22725"/>
  <c r="G72" i="22725"/>
  <c r="H84" i="22715"/>
  <c r="I84" i="22715" s="1"/>
  <c r="H98" i="22715"/>
  <c r="I98" i="22715" s="1"/>
  <c r="B65" i="22715"/>
  <c r="C65" i="22715" s="1"/>
  <c r="B134" i="3"/>
  <c r="C129" i="22725" l="1"/>
  <c r="C127" i="22725"/>
  <c r="C128" i="22725"/>
  <c r="B173" i="3"/>
  <c r="F74" i="3"/>
  <c r="F76" i="3" s="1"/>
  <c r="BR41" i="22723"/>
  <c r="BR42" i="22723"/>
  <c r="G15" i="3"/>
  <c r="F86" i="3"/>
  <c r="B51" i="22715" s="1"/>
  <c r="F77" i="3"/>
  <c r="F78" i="3" s="1"/>
  <c r="F75" i="3"/>
  <c r="H45" i="22715" s="1"/>
  <c r="I45" i="22715" s="1"/>
  <c r="G37" i="3"/>
  <c r="G44" i="3"/>
  <c r="G43" i="3"/>
  <c r="G42" i="3"/>
  <c r="G72" i="3"/>
  <c r="G27" i="3"/>
  <c r="C135" i="22725"/>
  <c r="J157" i="22715" s="1"/>
  <c r="J156" i="22715"/>
  <c r="H152" i="22715"/>
  <c r="B136" i="3"/>
  <c r="C134" i="3" s="1"/>
  <c r="D53" i="22715"/>
  <c r="J11" i="22715" s="1"/>
  <c r="D68" i="22715"/>
  <c r="C93" i="22725"/>
  <c r="B95" i="22725"/>
  <c r="C94" i="22725"/>
  <c r="J89" i="22715" s="1"/>
  <c r="AO72" i="22723"/>
  <c r="H153" i="22715"/>
  <c r="I153" i="22715" s="1"/>
  <c r="J36" i="22726"/>
  <c r="BX78" i="22723"/>
  <c r="J154" i="22715"/>
  <c r="J225" i="22715"/>
  <c r="J220" i="22715"/>
  <c r="J221" i="22715" s="1"/>
  <c r="C102" i="3"/>
  <c r="J51" i="22715"/>
  <c r="J43" i="22715"/>
  <c r="J58" i="22715"/>
  <c r="BQ78" i="2"/>
  <c r="J35" i="5"/>
  <c r="I125" i="22715"/>
  <c r="AO71" i="2"/>
  <c r="G58" i="3"/>
  <c r="G40" i="3"/>
  <c r="G65" i="3"/>
  <c r="C170" i="3"/>
  <c r="G46" i="3"/>
  <c r="G62" i="3"/>
  <c r="G52" i="3"/>
  <c r="G68" i="3"/>
  <c r="G38" i="3"/>
  <c r="C142" i="3"/>
  <c r="C147" i="3"/>
  <c r="G16" i="3"/>
  <c r="K85" i="3"/>
  <c r="K86" i="3" s="1"/>
  <c r="G20" i="3"/>
  <c r="G28" i="3"/>
  <c r="G64" i="3"/>
  <c r="B50" i="22715"/>
  <c r="C50" i="22715" s="1"/>
  <c r="E89" i="3"/>
  <c r="F89" i="3" s="1"/>
  <c r="G57" i="3"/>
  <c r="C172" i="3"/>
  <c r="H224" i="22715" s="1"/>
  <c r="G35" i="3"/>
  <c r="C152" i="3"/>
  <c r="G21" i="3"/>
  <c r="C154" i="3"/>
  <c r="H178" i="22715" s="1"/>
  <c r="G41" i="3"/>
  <c r="G69" i="3"/>
  <c r="G60" i="3"/>
  <c r="G51" i="3"/>
  <c r="B96" i="3"/>
  <c r="B95" i="3" s="1"/>
  <c r="B155" i="3"/>
  <c r="G34" i="3"/>
  <c r="G54" i="3"/>
  <c r="G26" i="3"/>
  <c r="G25" i="3"/>
  <c r="G47" i="3"/>
  <c r="C167" i="3"/>
  <c r="C148" i="3"/>
  <c r="G30" i="3"/>
  <c r="G23" i="3"/>
  <c r="G19" i="3"/>
  <c r="G49" i="3"/>
  <c r="G13" i="3"/>
  <c r="G73" i="3"/>
  <c r="G53" i="3"/>
  <c r="G61" i="3"/>
  <c r="G66" i="3"/>
  <c r="G45" i="3"/>
  <c r="G63" i="3"/>
  <c r="G14" i="3"/>
  <c r="G50" i="3"/>
  <c r="G55" i="3"/>
  <c r="G36" i="3"/>
  <c r="G31" i="3"/>
  <c r="E88" i="3"/>
  <c r="C168" i="3"/>
  <c r="G48" i="3"/>
  <c r="C145" i="3"/>
  <c r="G18" i="3"/>
  <c r="G67" i="3"/>
  <c r="G59" i="3"/>
  <c r="G70" i="3"/>
  <c r="G29" i="3"/>
  <c r="G71" i="3"/>
  <c r="G32" i="3"/>
  <c r="C130" i="22725" l="1"/>
  <c r="BY41" i="22723"/>
  <c r="BY42" i="22723"/>
  <c r="H58" i="22715"/>
  <c r="I58" i="22715" s="1"/>
  <c r="F85" i="3"/>
  <c r="H51" i="22715" s="1"/>
  <c r="I51" i="22715" s="1"/>
  <c r="F79" i="3"/>
  <c r="F80" i="3"/>
  <c r="F88" i="3"/>
  <c r="B53" i="22715" s="1"/>
  <c r="C136" i="22725"/>
  <c r="C149" i="3"/>
  <c r="C135" i="3"/>
  <c r="H157" i="22715" s="1"/>
  <c r="H156" i="22715"/>
  <c r="C173" i="3"/>
  <c r="H225" i="22715" s="1"/>
  <c r="H220" i="22715"/>
  <c r="AO72" i="2"/>
  <c r="J36" i="5"/>
  <c r="BX78" i="2"/>
  <c r="H12" i="22715"/>
  <c r="I12" i="22715" s="1"/>
  <c r="C51" i="22715"/>
  <c r="B68" i="22715"/>
  <c r="C68" i="22715" s="1"/>
  <c r="J85" i="22715"/>
  <c r="C95" i="22725"/>
  <c r="J90" i="22715" s="1"/>
  <c r="D69" i="22715"/>
  <c r="D72" i="22715" s="1"/>
  <c r="J72" i="22715"/>
  <c r="J8" i="22715" s="1"/>
  <c r="I152" i="22715"/>
  <c r="H154" i="22715"/>
  <c r="I154" i="22715" s="1"/>
  <c r="CE78" i="22723"/>
  <c r="J37" i="22726"/>
  <c r="J127" i="22715"/>
  <c r="J128" i="22715" s="1"/>
  <c r="H175" i="22715"/>
  <c r="C155" i="3"/>
  <c r="H179" i="22715" s="1"/>
  <c r="B129" i="3"/>
  <c r="C93" i="3"/>
  <c r="C94" i="3"/>
  <c r="H89" i="22715" s="1"/>
  <c r="H43" i="22715"/>
  <c r="I43" i="22715" s="1"/>
  <c r="B54" i="22715"/>
  <c r="C54" i="22715" s="1"/>
  <c r="D54" i="5"/>
  <c r="AO73" i="22723"/>
  <c r="J88" i="22715"/>
  <c r="AP63" i="22723" l="1"/>
  <c r="AP32" i="22723"/>
  <c r="AP28" i="22723"/>
  <c r="AP19" i="22723"/>
  <c r="AP33" i="22723"/>
  <c r="AP35" i="22723"/>
  <c r="AP31" i="22723"/>
  <c r="AP22" i="22723"/>
  <c r="AP20" i="22723"/>
  <c r="AP34" i="22723"/>
  <c r="AP30" i="22723"/>
  <c r="AP21" i="22723"/>
  <c r="AP29" i="22723"/>
  <c r="CF41" i="22723"/>
  <c r="CF42" i="22723"/>
  <c r="AP72" i="22723"/>
  <c r="AP16" i="22723"/>
  <c r="D53" i="5"/>
  <c r="C136" i="3"/>
  <c r="AO73" i="2"/>
  <c r="H11" i="22715"/>
  <c r="I11" i="22715" s="1"/>
  <c r="C53" i="22715"/>
  <c r="H176" i="22715"/>
  <c r="I176" i="22715" s="1"/>
  <c r="I175" i="22715"/>
  <c r="H88" i="22715"/>
  <c r="CE78" i="2"/>
  <c r="J37" i="5"/>
  <c r="I220" i="22715"/>
  <c r="H221" i="22715"/>
  <c r="I221" i="22715" s="1"/>
  <c r="AP62" i="22723"/>
  <c r="AP14" i="22723"/>
  <c r="AP61" i="22723"/>
  <c r="AP15" i="22723"/>
  <c r="AP48" i="22723"/>
  <c r="AP60" i="22723"/>
  <c r="AP40" i="22723"/>
  <c r="AO77" i="22723"/>
  <c r="AP25" i="22723"/>
  <c r="AP57" i="22723"/>
  <c r="AP47" i="22723"/>
  <c r="AP58" i="22723"/>
  <c r="AP39" i="22723"/>
  <c r="AP55" i="22723"/>
  <c r="AO75" i="22723"/>
  <c r="AP45" i="22723"/>
  <c r="AP66" i="22723"/>
  <c r="AP64" i="22723"/>
  <c r="AP46" i="22723"/>
  <c r="AP73" i="22723"/>
  <c r="E32" i="22726"/>
  <c r="AP43" i="22723"/>
  <c r="AP59" i="22723"/>
  <c r="AP49" i="22723"/>
  <c r="AP38" i="22723"/>
  <c r="AP44" i="22723"/>
  <c r="AP36" i="22723"/>
  <c r="AP67" i="22723"/>
  <c r="AP68" i="22723"/>
  <c r="AP65" i="22723"/>
  <c r="AP17" i="22723"/>
  <c r="AP54" i="22723"/>
  <c r="AP69" i="22723"/>
  <c r="AP70" i="22723"/>
  <c r="AP71" i="22723"/>
  <c r="H127" i="22715"/>
  <c r="B130" i="3"/>
  <c r="C129" i="3" s="1"/>
  <c r="H133" i="22715" s="1"/>
  <c r="J132" i="22715"/>
  <c r="CL78" i="22723"/>
  <c r="J38" i="22726"/>
  <c r="D48" i="22726"/>
  <c r="J69" i="22715"/>
  <c r="J9" i="22715" s="1"/>
  <c r="C96" i="22725"/>
  <c r="H85" i="22715"/>
  <c r="I85" i="22715" s="1"/>
  <c r="C95" i="3"/>
  <c r="H90" i="22715" s="1"/>
  <c r="J133" i="22715"/>
  <c r="H72" i="22715"/>
  <c r="B69" i="22715"/>
  <c r="B72" i="22715" s="1"/>
  <c r="AP33" i="2" l="1"/>
  <c r="AP34" i="2"/>
  <c r="AP35" i="2"/>
  <c r="CM41" i="22723"/>
  <c r="CM42" i="22723"/>
  <c r="AP16" i="2"/>
  <c r="AP42" i="2"/>
  <c r="AP41" i="2"/>
  <c r="AP40" i="2"/>
  <c r="AP19" i="2"/>
  <c r="AP20" i="2"/>
  <c r="AP21" i="2"/>
  <c r="AP22" i="2"/>
  <c r="C96" i="3"/>
  <c r="I72" i="22715"/>
  <c r="H8" i="22715"/>
  <c r="I8" i="22715" s="1"/>
  <c r="D48" i="5"/>
  <c r="H69" i="22715"/>
  <c r="C128" i="3"/>
  <c r="H132" i="22715" s="1"/>
  <c r="C127" i="3"/>
  <c r="J39" i="22726"/>
  <c r="CS78" i="22723"/>
  <c r="I127" i="22715"/>
  <c r="H128" i="22715"/>
  <c r="I128" i="22715" s="1"/>
  <c r="AV76" i="22723"/>
  <c r="AU70" i="22723" s="1"/>
  <c r="AV70" i="22723" s="1"/>
  <c r="AV71" i="22723" s="1"/>
  <c r="C32" i="22726"/>
  <c r="AP59" i="2"/>
  <c r="AP39" i="2"/>
  <c r="AP47" i="2"/>
  <c r="AP25" i="2"/>
  <c r="AP31" i="2"/>
  <c r="AP30" i="2"/>
  <c r="AP45" i="2"/>
  <c r="AP49" i="2"/>
  <c r="AP64" i="2"/>
  <c r="AP36" i="2"/>
  <c r="AP73" i="2"/>
  <c r="AP38" i="2"/>
  <c r="AP62" i="2"/>
  <c r="AP65" i="2"/>
  <c r="AP66" i="2"/>
  <c r="AP55" i="2"/>
  <c r="AP28" i="2"/>
  <c r="AO77" i="2"/>
  <c r="E32" i="5"/>
  <c r="AP43" i="2"/>
  <c r="AP69" i="2"/>
  <c r="AP32" i="2"/>
  <c r="AP15" i="2"/>
  <c r="AP17" i="2"/>
  <c r="AP60" i="2"/>
  <c r="AP54" i="2"/>
  <c r="AP68" i="2"/>
  <c r="AP46" i="2"/>
  <c r="AP29" i="2"/>
  <c r="AP67" i="2"/>
  <c r="AO75" i="2"/>
  <c r="AP57" i="2"/>
  <c r="AP53" i="2"/>
  <c r="AP63" i="2"/>
  <c r="AP52" i="2"/>
  <c r="AP58" i="2"/>
  <c r="AP48" i="2"/>
  <c r="AP61" i="2"/>
  <c r="AP14" i="2"/>
  <c r="AP44" i="2"/>
  <c r="AP70" i="2"/>
  <c r="AP71" i="2"/>
  <c r="J131" i="22715"/>
  <c r="C69" i="22715"/>
  <c r="C72" i="22715"/>
  <c r="G32" i="22726"/>
  <c r="F32" i="22726"/>
  <c r="CL78" i="2"/>
  <c r="J38" i="5"/>
  <c r="AP72" i="2"/>
  <c r="AW52" i="22723" l="1"/>
  <c r="AW53" i="22723"/>
  <c r="CT41" i="22723"/>
  <c r="CT42" i="22723"/>
  <c r="J39" i="5"/>
  <c r="CS78" i="2"/>
  <c r="G32" i="5"/>
  <c r="F32" i="5"/>
  <c r="J40" i="22726"/>
  <c r="CZ78" i="22723"/>
  <c r="H9" i="22715"/>
  <c r="I9" i="22715" s="1"/>
  <c r="I69" i="22715"/>
  <c r="C32" i="5"/>
  <c r="AV76" i="2"/>
  <c r="AU70" i="2" s="1"/>
  <c r="AV70" i="2" s="1"/>
  <c r="H131" i="22715"/>
  <c r="C130" i="3"/>
  <c r="DA42" i="22723" l="1"/>
  <c r="DA41" i="22723"/>
  <c r="AV71" i="2"/>
  <c r="J41" i="22726"/>
  <c r="DG78" i="22723"/>
  <c r="CZ78" i="2"/>
  <c r="J40" i="5"/>
  <c r="AV72" i="22723"/>
  <c r="J42" i="22726" l="1"/>
  <c r="AV73" i="22723"/>
  <c r="AV72" i="2"/>
  <c r="DG78" i="2"/>
  <c r="J42" i="5" s="1"/>
  <c r="J41" i="5"/>
  <c r="AW63" i="22723" l="1"/>
  <c r="AW32" i="22723"/>
  <c r="AW28" i="22723"/>
  <c r="AW24" i="22723"/>
  <c r="AW19" i="22723"/>
  <c r="AW33" i="22723"/>
  <c r="AW25" i="22723"/>
  <c r="AW35" i="22723"/>
  <c r="AW31" i="22723"/>
  <c r="AW27" i="22723"/>
  <c r="AW22" i="22723"/>
  <c r="AW20" i="22723"/>
  <c r="AW34" i="22723"/>
  <c r="AW30" i="22723"/>
  <c r="AW26" i="22723"/>
  <c r="AW21" i="22723"/>
  <c r="AW29" i="22723"/>
  <c r="AW72" i="22723"/>
  <c r="AW16" i="22723"/>
  <c r="AV73" i="2"/>
  <c r="AV77" i="22723"/>
  <c r="AW47" i="22723"/>
  <c r="AW54" i="22723"/>
  <c r="AV75" i="22723"/>
  <c r="AW69" i="22723"/>
  <c r="AW55" i="22723"/>
  <c r="AW65" i="22723"/>
  <c r="AW38" i="22723"/>
  <c r="AW48" i="22723"/>
  <c r="AW39" i="22723"/>
  <c r="AW59" i="22723"/>
  <c r="AW36" i="22723"/>
  <c r="AW68" i="22723"/>
  <c r="AW43" i="22723"/>
  <c r="AW60" i="22723"/>
  <c r="E33" i="22726"/>
  <c r="AW62" i="22723"/>
  <c r="AW14" i="22723"/>
  <c r="AW66" i="22723"/>
  <c r="AW45" i="22723"/>
  <c r="AW44" i="22723"/>
  <c r="AW61" i="22723"/>
  <c r="AW40" i="22723"/>
  <c r="AW17" i="22723"/>
  <c r="AW15" i="22723"/>
  <c r="AW57" i="22723"/>
  <c r="AW49" i="22723"/>
  <c r="AW46" i="22723"/>
  <c r="AW64" i="22723"/>
  <c r="AW58" i="22723"/>
  <c r="AW67" i="22723"/>
  <c r="AW73" i="22723"/>
  <c r="AW70" i="22723"/>
  <c r="AW71" i="22723"/>
  <c r="AW34" i="2" l="1"/>
  <c r="AW33" i="2"/>
  <c r="AW35" i="2"/>
  <c r="AW42" i="2"/>
  <c r="AW41" i="2"/>
  <c r="AW40" i="2"/>
  <c r="AW21" i="2"/>
  <c r="AW20" i="2"/>
  <c r="AW19" i="2"/>
  <c r="AW22" i="2"/>
  <c r="AW16" i="2"/>
  <c r="F33" i="22726"/>
  <c r="G33" i="22726"/>
  <c r="AW64" i="2"/>
  <c r="AW54" i="2"/>
  <c r="AW63" i="2"/>
  <c r="AW39" i="2"/>
  <c r="AW31" i="2"/>
  <c r="AW48" i="2"/>
  <c r="AW29" i="2"/>
  <c r="AW55" i="2"/>
  <c r="AW59" i="2"/>
  <c r="AW45" i="2"/>
  <c r="AW61" i="2"/>
  <c r="AW46" i="2"/>
  <c r="AW62" i="2"/>
  <c r="AW53" i="2"/>
  <c r="AW28" i="2"/>
  <c r="AW68" i="2"/>
  <c r="AW60" i="2"/>
  <c r="AV77" i="2"/>
  <c r="AW43" i="2"/>
  <c r="AW69" i="2"/>
  <c r="AW38" i="2"/>
  <c r="AW25" i="2"/>
  <c r="AW14" i="2"/>
  <c r="AW67" i="2"/>
  <c r="AW57" i="2"/>
  <c r="AV75" i="2"/>
  <c r="AW47" i="2"/>
  <c r="AW52" i="2"/>
  <c r="AW66" i="2"/>
  <c r="AW32" i="2"/>
  <c r="AW73" i="2"/>
  <c r="AW30" i="2"/>
  <c r="E33" i="5"/>
  <c r="AW17" i="2"/>
  <c r="AW58" i="2"/>
  <c r="AW36" i="2"/>
  <c r="AW65" i="2"/>
  <c r="AW44" i="2"/>
  <c r="AW49" i="2"/>
  <c r="AW15" i="2"/>
  <c r="AW70" i="2"/>
  <c r="AW71" i="2"/>
  <c r="BC76" i="22723"/>
  <c r="BB70" i="22723" s="1"/>
  <c r="BC70" i="22723" s="1"/>
  <c r="BC71" i="22723" s="1"/>
  <c r="C33" i="22726"/>
  <c r="AW72" i="2"/>
  <c r="BD52" i="22723" l="1"/>
  <c r="BD53" i="22723"/>
  <c r="BC76" i="2"/>
  <c r="BB70" i="2" s="1"/>
  <c r="BC70" i="2" s="1"/>
  <c r="C33" i="5"/>
  <c r="F33" i="5"/>
  <c r="G33" i="5"/>
  <c r="BC71" i="2" l="1"/>
  <c r="BC72" i="22723"/>
  <c r="BC73" i="22723" l="1"/>
  <c r="BC72" i="2"/>
  <c r="BD33" i="22723" l="1"/>
  <c r="BD20" i="22723"/>
  <c r="BD19" i="22723"/>
  <c r="BD34" i="22723"/>
  <c r="BD35" i="22723"/>
  <c r="BD22" i="22723"/>
  <c r="BD21" i="22723"/>
  <c r="BD16" i="22723"/>
  <c r="BD63" i="22723"/>
  <c r="BC73" i="2"/>
  <c r="E34" i="22726"/>
  <c r="BD43" i="22723"/>
  <c r="BD68" i="22723"/>
  <c r="BD61" i="22723"/>
  <c r="BD67" i="22723"/>
  <c r="BD15" i="22723"/>
  <c r="BD32" i="22723"/>
  <c r="BC75" i="22723"/>
  <c r="BD39" i="22723"/>
  <c r="BD47" i="22723"/>
  <c r="BD17" i="22723"/>
  <c r="BD59" i="22723"/>
  <c r="BD55" i="22723"/>
  <c r="BD45" i="22723"/>
  <c r="BD62" i="22723"/>
  <c r="BD49" i="22723"/>
  <c r="BD36" i="22723"/>
  <c r="BD40" i="22723"/>
  <c r="BD60" i="22723"/>
  <c r="BD57" i="22723"/>
  <c r="BD64" i="22723"/>
  <c r="BD46" i="22723"/>
  <c r="BD44" i="22723"/>
  <c r="BD28" i="22723"/>
  <c r="BD73" i="22723"/>
  <c r="BC77" i="22723"/>
  <c r="BD14" i="22723"/>
  <c r="BD29" i="22723"/>
  <c r="BD66" i="22723"/>
  <c r="BD25" i="22723"/>
  <c r="BD65" i="22723"/>
  <c r="BD48" i="22723"/>
  <c r="BD38" i="22723"/>
  <c r="BD54" i="22723"/>
  <c r="BD69" i="22723"/>
  <c r="BD31" i="22723"/>
  <c r="BD58" i="22723"/>
  <c r="BD30" i="22723"/>
  <c r="BD70" i="22723"/>
  <c r="BD71" i="22723"/>
  <c r="BD72" i="22723"/>
  <c r="BD35" i="2" l="1"/>
  <c r="BD34" i="2"/>
  <c r="BD33" i="2"/>
  <c r="BD42" i="2"/>
  <c r="BD41" i="2"/>
  <c r="BD40" i="2"/>
  <c r="BD72" i="2"/>
  <c r="BD16" i="2"/>
  <c r="BD19" i="2"/>
  <c r="BD21" i="2"/>
  <c r="BD20" i="2"/>
  <c r="BD22" i="2"/>
  <c r="C34" i="22726"/>
  <c r="BJ76" i="22723"/>
  <c r="BI70" i="22723" s="1"/>
  <c r="BJ70" i="22723" s="1"/>
  <c r="BJ71" i="22723" s="1"/>
  <c r="G34" i="22726"/>
  <c r="F34" i="22726"/>
  <c r="BC77" i="2"/>
  <c r="BD29" i="2"/>
  <c r="BD25" i="2"/>
  <c r="BD43" i="2"/>
  <c r="BD30" i="2"/>
  <c r="BD44" i="2"/>
  <c r="BD28" i="2"/>
  <c r="BD67" i="2"/>
  <c r="BD55" i="2"/>
  <c r="BD68" i="2"/>
  <c r="BD66" i="2"/>
  <c r="BC75" i="2"/>
  <c r="BD36" i="2"/>
  <c r="BD62" i="2"/>
  <c r="BD15" i="2"/>
  <c r="BD46" i="2"/>
  <c r="BD65" i="2"/>
  <c r="BD53" i="2"/>
  <c r="BD69" i="2"/>
  <c r="BD61" i="2"/>
  <c r="BD39" i="2"/>
  <c r="BD52" i="2"/>
  <c r="BD73" i="2"/>
  <c r="BD48" i="2"/>
  <c r="BD14" i="2"/>
  <c r="BD60" i="2"/>
  <c r="BD58" i="2"/>
  <c r="BD59" i="2"/>
  <c r="BD49" i="2"/>
  <c r="BD54" i="2"/>
  <c r="BD57" i="2"/>
  <c r="BD47" i="2"/>
  <c r="E34" i="5"/>
  <c r="BD45" i="2"/>
  <c r="BD31" i="2"/>
  <c r="BD32" i="2"/>
  <c r="BD17" i="2"/>
  <c r="BD63" i="2"/>
  <c r="BD38" i="2"/>
  <c r="BD64" i="2"/>
  <c r="BD70" i="2"/>
  <c r="BD71" i="2"/>
  <c r="BK52" i="22723" l="1"/>
  <c r="BK53" i="22723"/>
  <c r="F34" i="5"/>
  <c r="G34" i="5"/>
  <c r="C34" i="5"/>
  <c r="BJ76" i="2"/>
  <c r="BI70" i="2" s="1"/>
  <c r="BJ70" i="2" s="1"/>
  <c r="BJ71" i="2" l="1"/>
  <c r="BJ72" i="22723"/>
  <c r="BJ73" i="22723" l="1"/>
  <c r="BJ72" i="2"/>
  <c r="BK35" i="22723" l="1"/>
  <c r="BK31" i="22723"/>
  <c r="BK25" i="22723"/>
  <c r="BK20" i="22723"/>
  <c r="BK21" i="22723"/>
  <c r="BK34" i="22723"/>
  <c r="BK30" i="22723"/>
  <c r="BK24" i="22723"/>
  <c r="BK19" i="22723"/>
  <c r="BK32" i="22723"/>
  <c r="BK33" i="22723"/>
  <c r="BK29" i="22723"/>
  <c r="BK22" i="22723"/>
  <c r="BK28" i="22723"/>
  <c r="BK63" i="22723"/>
  <c r="BK50" i="22723"/>
  <c r="BK72" i="22723"/>
  <c r="BK16" i="22723"/>
  <c r="BJ73" i="2"/>
  <c r="E35" i="22726"/>
  <c r="BK39" i="22723"/>
  <c r="BK59" i="22723"/>
  <c r="BK44" i="22723"/>
  <c r="BK17" i="22723"/>
  <c r="BK43" i="22723"/>
  <c r="BK66" i="22723"/>
  <c r="BK67" i="22723"/>
  <c r="BK38" i="22723"/>
  <c r="BK15" i="22723"/>
  <c r="BK55" i="22723"/>
  <c r="BK68" i="22723"/>
  <c r="BK45" i="22723"/>
  <c r="BK49" i="22723"/>
  <c r="BJ77" i="22723"/>
  <c r="BK65" i="22723"/>
  <c r="BK58" i="22723"/>
  <c r="BK62" i="22723"/>
  <c r="BJ75" i="22723"/>
  <c r="BK46" i="22723"/>
  <c r="BK69" i="22723"/>
  <c r="BK54" i="22723"/>
  <c r="BK14" i="22723"/>
  <c r="BK73" i="22723"/>
  <c r="BK47" i="22723"/>
  <c r="BK57" i="22723"/>
  <c r="BK48" i="22723"/>
  <c r="BK61" i="22723"/>
  <c r="BK40" i="22723"/>
  <c r="BK60" i="22723"/>
  <c r="BK36" i="22723"/>
  <c r="BK70" i="22723"/>
  <c r="BK71" i="22723"/>
  <c r="BK50" i="2" l="1"/>
  <c r="BK33" i="2"/>
  <c r="BK35" i="2"/>
  <c r="BK24" i="2"/>
  <c r="BK34" i="2"/>
  <c r="BK16" i="2"/>
  <c r="BK42" i="2"/>
  <c r="BK41" i="2"/>
  <c r="BK40" i="2"/>
  <c r="BK72" i="2"/>
  <c r="BK20" i="2"/>
  <c r="BK19" i="2"/>
  <c r="BK21" i="2"/>
  <c r="BK22" i="2"/>
  <c r="BQ76" i="22723"/>
  <c r="BP70" i="22723" s="1"/>
  <c r="BQ70" i="22723" s="1"/>
  <c r="BQ71" i="22723" s="1"/>
  <c r="C35" i="22726"/>
  <c r="G35" i="22726"/>
  <c r="F35" i="22726"/>
  <c r="BK73" i="2"/>
  <c r="BK15" i="2"/>
  <c r="BK66" i="2"/>
  <c r="BK32" i="2"/>
  <c r="BK28" i="2"/>
  <c r="BK59" i="2"/>
  <c r="BK49" i="2"/>
  <c r="BK29" i="2"/>
  <c r="BK30" i="2"/>
  <c r="BK43" i="2"/>
  <c r="BK47" i="2"/>
  <c r="BK25" i="2"/>
  <c r="BK53" i="2"/>
  <c r="BK45" i="2"/>
  <c r="BK69" i="2"/>
  <c r="BK17" i="2"/>
  <c r="BK63" i="2"/>
  <c r="BJ77" i="2"/>
  <c r="BK46" i="2"/>
  <c r="BK39" i="2"/>
  <c r="BK62" i="2"/>
  <c r="BK54" i="2"/>
  <c r="BK57" i="2"/>
  <c r="BK55" i="2"/>
  <c r="BK14" i="2"/>
  <c r="BJ75" i="2"/>
  <c r="BK36" i="2"/>
  <c r="BK68" i="2"/>
  <c r="BK52" i="2"/>
  <c r="BK48" i="2"/>
  <c r="BK38" i="2"/>
  <c r="E35" i="5"/>
  <c r="BK64" i="2"/>
  <c r="BK44" i="2"/>
  <c r="BK58" i="2"/>
  <c r="BK65" i="2"/>
  <c r="BK67" i="2"/>
  <c r="BK31" i="2"/>
  <c r="BK60" i="2"/>
  <c r="BK61" i="2"/>
  <c r="BK70" i="2"/>
  <c r="BK71" i="2"/>
  <c r="BR52" i="22723" l="1"/>
  <c r="BR53" i="22723"/>
  <c r="C35" i="5"/>
  <c r="BQ76" i="2"/>
  <c r="BP70" i="2" s="1"/>
  <c r="BQ70" i="2" s="1"/>
  <c r="G35" i="5"/>
  <c r="F35" i="5"/>
  <c r="BR51" i="22723" l="1"/>
  <c r="BR50" i="22723"/>
  <c r="BQ71" i="2"/>
  <c r="BQ72" i="22723"/>
  <c r="BQ73" i="22723" l="1"/>
  <c r="BQ72" i="2"/>
  <c r="BR63" i="22723" l="1"/>
  <c r="BR35" i="22723"/>
  <c r="BR31" i="22723"/>
  <c r="BR27" i="22723"/>
  <c r="BR22" i="22723"/>
  <c r="BR19" i="22723"/>
  <c r="BR34" i="22723"/>
  <c r="BR30" i="22723"/>
  <c r="BR26" i="22723"/>
  <c r="BR21" i="22723"/>
  <c r="BR28" i="22723"/>
  <c r="BR33" i="22723"/>
  <c r="BR29" i="22723"/>
  <c r="BR25" i="22723"/>
  <c r="BR20" i="22723"/>
  <c r="BR32" i="22723"/>
  <c r="BR24" i="22723"/>
  <c r="BR16" i="22723"/>
  <c r="BQ73" i="2"/>
  <c r="BR73" i="22723"/>
  <c r="BR17" i="22723"/>
  <c r="BR66" i="22723"/>
  <c r="BR15" i="22723"/>
  <c r="BR62" i="22723"/>
  <c r="BR60" i="22723"/>
  <c r="BR38" i="22723"/>
  <c r="BR69" i="22723"/>
  <c r="E36" i="22726"/>
  <c r="BR58" i="22723"/>
  <c r="BR45" i="22723"/>
  <c r="BR36" i="22723"/>
  <c r="BR64" i="22723"/>
  <c r="BR44" i="22723"/>
  <c r="BR46" i="22723"/>
  <c r="BR67" i="22723"/>
  <c r="BR43" i="22723"/>
  <c r="BR61" i="22723"/>
  <c r="BR55" i="22723"/>
  <c r="BQ77" i="22723"/>
  <c r="BR40" i="22723"/>
  <c r="BR14" i="22723"/>
  <c r="BR57" i="22723"/>
  <c r="BR54" i="22723"/>
  <c r="BR47" i="22723"/>
  <c r="BR48" i="22723"/>
  <c r="BQ75" i="22723"/>
  <c r="BR65" i="22723"/>
  <c r="BR68" i="22723"/>
  <c r="BR59" i="22723"/>
  <c r="BR49" i="22723"/>
  <c r="BR39" i="22723"/>
  <c r="BR70" i="22723"/>
  <c r="BR71" i="22723"/>
  <c r="BR72" i="22723"/>
  <c r="BR33" i="2" l="1"/>
  <c r="BR34" i="2"/>
  <c r="BR35" i="2"/>
  <c r="BR42" i="2"/>
  <c r="BR41" i="2"/>
  <c r="BR40" i="2"/>
  <c r="BR20" i="2"/>
  <c r="BR21" i="2"/>
  <c r="BR19" i="2"/>
  <c r="BR22" i="2"/>
  <c r="BR16" i="2"/>
  <c r="BQ77" i="2"/>
  <c r="BR31" i="2"/>
  <c r="BR30" i="2"/>
  <c r="BR63" i="2"/>
  <c r="BR29" i="2"/>
  <c r="BR60" i="2"/>
  <c r="BR36" i="2"/>
  <c r="BR66" i="2"/>
  <c r="BR52" i="2"/>
  <c r="BR62" i="2"/>
  <c r="E36" i="5"/>
  <c r="BR73" i="2"/>
  <c r="BR27" i="2"/>
  <c r="BR28" i="2"/>
  <c r="BR59" i="2"/>
  <c r="BR54" i="2"/>
  <c r="BR55" i="2"/>
  <c r="BR69" i="2"/>
  <c r="BR49" i="2"/>
  <c r="BR51" i="2"/>
  <c r="BR61" i="2"/>
  <c r="BR64" i="2"/>
  <c r="BR15" i="2"/>
  <c r="BR44" i="2"/>
  <c r="BR32" i="2"/>
  <c r="BR48" i="2"/>
  <c r="BR14" i="2"/>
  <c r="BR45" i="2"/>
  <c r="BR47" i="2"/>
  <c r="BR67" i="2"/>
  <c r="BQ75" i="2"/>
  <c r="BR58" i="2"/>
  <c r="BR46" i="2"/>
  <c r="BR68" i="2"/>
  <c r="BR17" i="2"/>
  <c r="BR57" i="2"/>
  <c r="BR50" i="2"/>
  <c r="BR53" i="2"/>
  <c r="BR43" i="2"/>
  <c r="BR26" i="2"/>
  <c r="BR25" i="2"/>
  <c r="BR39" i="2"/>
  <c r="BR65" i="2"/>
  <c r="BR38" i="2"/>
  <c r="BR70" i="2"/>
  <c r="BR71" i="2"/>
  <c r="BX76" i="22723"/>
  <c r="BW70" i="22723" s="1"/>
  <c r="BX70" i="22723" s="1"/>
  <c r="BX71" i="22723" s="1"/>
  <c r="C36" i="22726"/>
  <c r="G36" i="22726"/>
  <c r="F36" i="22726"/>
  <c r="BR72" i="2"/>
  <c r="BY52" i="22723" l="1"/>
  <c r="BY53" i="22723"/>
  <c r="G36" i="5"/>
  <c r="F36" i="5"/>
  <c r="BX76" i="2"/>
  <c r="BW70" i="2" s="1"/>
  <c r="BX70" i="2" s="1"/>
  <c r="C36" i="5"/>
  <c r="BX71" i="2" l="1"/>
  <c r="BX72" i="22723"/>
  <c r="BX73" i="22723" l="1"/>
  <c r="BX72" i="2"/>
  <c r="BY63" i="22723" l="1"/>
  <c r="BY33" i="22723"/>
  <c r="BY35" i="22723"/>
  <c r="BY34" i="22723"/>
  <c r="BY16" i="22723"/>
  <c r="BY21" i="22723"/>
  <c r="BY20" i="22723"/>
  <c r="BY22" i="22723"/>
  <c r="BY19" i="22723"/>
  <c r="BX73" i="2"/>
  <c r="E37" i="22726"/>
  <c r="BY43" i="22723"/>
  <c r="BY73" i="22723"/>
  <c r="BY17" i="22723"/>
  <c r="BY32" i="22723"/>
  <c r="BY44" i="22723"/>
  <c r="BY48" i="22723"/>
  <c r="BY40" i="22723"/>
  <c r="BY67" i="22723"/>
  <c r="BY45" i="22723"/>
  <c r="BX77" i="22723"/>
  <c r="BY36" i="22723"/>
  <c r="BY38" i="22723"/>
  <c r="BY65" i="22723"/>
  <c r="BY54" i="22723"/>
  <c r="BY29" i="22723"/>
  <c r="BX75" i="22723"/>
  <c r="BY64" i="22723"/>
  <c r="BY68" i="22723"/>
  <c r="BY61" i="22723"/>
  <c r="BY62" i="22723"/>
  <c r="BY15" i="22723"/>
  <c r="BY66" i="22723"/>
  <c r="BY57" i="22723"/>
  <c r="BY59" i="22723"/>
  <c r="BY30" i="22723"/>
  <c r="BY25" i="22723"/>
  <c r="BY69" i="22723"/>
  <c r="BY60" i="22723"/>
  <c r="BY58" i="22723"/>
  <c r="BY39" i="22723"/>
  <c r="BY49" i="22723"/>
  <c r="BY31" i="22723"/>
  <c r="BY28" i="22723"/>
  <c r="BY14" i="22723"/>
  <c r="BY47" i="22723"/>
  <c r="BY55" i="22723"/>
  <c r="BY46" i="22723"/>
  <c r="BY70" i="22723"/>
  <c r="BY71" i="22723"/>
  <c r="BY72" i="22723"/>
  <c r="BY34" i="2" l="1"/>
  <c r="BY33" i="2"/>
  <c r="BY35" i="2"/>
  <c r="BY16" i="2"/>
  <c r="BY42" i="2"/>
  <c r="BY41" i="2"/>
  <c r="BY40" i="2"/>
  <c r="BY19" i="2"/>
  <c r="BY20" i="2"/>
  <c r="BY21" i="2"/>
  <c r="BY22" i="2"/>
  <c r="BY62" i="2"/>
  <c r="BY48" i="2"/>
  <c r="BX75" i="2"/>
  <c r="BY69" i="2"/>
  <c r="BY38" i="2"/>
  <c r="BY52" i="2"/>
  <c r="BY65" i="2"/>
  <c r="BY46" i="2"/>
  <c r="BY73" i="2"/>
  <c r="BY60" i="2"/>
  <c r="BY53" i="2"/>
  <c r="BY64" i="2"/>
  <c r="BY63" i="2"/>
  <c r="BY47" i="2"/>
  <c r="BY45" i="2"/>
  <c r="BY14" i="2"/>
  <c r="BY54" i="2"/>
  <c r="E37" i="5"/>
  <c r="BY30" i="2"/>
  <c r="BY58" i="2"/>
  <c r="BY49" i="2"/>
  <c r="BY29" i="2"/>
  <c r="BY31" i="2"/>
  <c r="BY15" i="2"/>
  <c r="BY36" i="2"/>
  <c r="BY61" i="2"/>
  <c r="BY68" i="2"/>
  <c r="BY28" i="2"/>
  <c r="BY44" i="2"/>
  <c r="BY25" i="2"/>
  <c r="BY66" i="2"/>
  <c r="BY59" i="2"/>
  <c r="BY32" i="2"/>
  <c r="BY55" i="2"/>
  <c r="BY43" i="2"/>
  <c r="BY39" i="2"/>
  <c r="BX77" i="2"/>
  <c r="BY17" i="2"/>
  <c r="BY67" i="2"/>
  <c r="BY57" i="2"/>
  <c r="BY70" i="2"/>
  <c r="BY71" i="2"/>
  <c r="G37" i="22726"/>
  <c r="F37" i="22726"/>
  <c r="C37" i="22726"/>
  <c r="CE76" i="22723"/>
  <c r="CD70" i="22723" s="1"/>
  <c r="CE70" i="22723" s="1"/>
  <c r="CE71" i="22723" s="1"/>
  <c r="BY72" i="2"/>
  <c r="CF53" i="22723" l="1"/>
  <c r="CF52" i="22723"/>
  <c r="F37" i="5"/>
  <c r="G37" i="5"/>
  <c r="C37" i="5"/>
  <c r="CE76" i="2"/>
  <c r="CD70" i="2" s="1"/>
  <c r="CE70" i="2" s="1"/>
  <c r="CE71" i="2" l="1"/>
  <c r="CE72" i="22723"/>
  <c r="CE73" i="22723" l="1"/>
  <c r="CE72" i="2"/>
  <c r="CF63" i="22723" l="1"/>
  <c r="CF28" i="22723"/>
  <c r="CF35" i="22723"/>
  <c r="CF33" i="22723"/>
  <c r="CF34" i="22723"/>
  <c r="CF15" i="22723"/>
  <c r="CF19" i="22723"/>
  <c r="CF22" i="22723"/>
  <c r="CF20" i="22723"/>
  <c r="CF21" i="22723"/>
  <c r="CF17" i="22723"/>
  <c r="CF72" i="22723"/>
  <c r="CF16" i="22723"/>
  <c r="CE73" i="2"/>
  <c r="CE77" i="22723"/>
  <c r="CF31" i="22723"/>
  <c r="CF68" i="22723"/>
  <c r="CF73" i="22723"/>
  <c r="CF44" i="22723"/>
  <c r="CF47" i="22723"/>
  <c r="CF62" i="22723"/>
  <c r="CF40" i="22723"/>
  <c r="CE75" i="22723"/>
  <c r="E38" i="22726"/>
  <c r="CF30" i="22723"/>
  <c r="CF39" i="22723"/>
  <c r="CF38" i="22723"/>
  <c r="CF69" i="22723"/>
  <c r="CF67" i="22723"/>
  <c r="CF65" i="22723"/>
  <c r="CF57" i="22723"/>
  <c r="CF45" i="22723"/>
  <c r="CF61" i="22723"/>
  <c r="CF32" i="22723"/>
  <c r="CF60" i="22723"/>
  <c r="CF48" i="22723"/>
  <c r="CF43" i="22723"/>
  <c r="CF29" i="22723"/>
  <c r="CF59" i="22723"/>
  <c r="CF49" i="22723"/>
  <c r="CF46" i="22723"/>
  <c r="CF14" i="22723"/>
  <c r="CF36" i="22723"/>
  <c r="CF66" i="22723"/>
  <c r="CF64" i="22723"/>
  <c r="CF25" i="22723"/>
  <c r="CF54" i="22723"/>
  <c r="CF55" i="22723"/>
  <c r="CF58" i="22723"/>
  <c r="CF70" i="22723"/>
  <c r="CF71" i="22723"/>
  <c r="CF35" i="2" l="1"/>
  <c r="CF34" i="2"/>
  <c r="CF33" i="2"/>
  <c r="CF16" i="2"/>
  <c r="CF42" i="2"/>
  <c r="CF41" i="2"/>
  <c r="CF40" i="2"/>
  <c r="CF20" i="2"/>
  <c r="CF21" i="2"/>
  <c r="CF19" i="2"/>
  <c r="CF22" i="2"/>
  <c r="G38" i="22726"/>
  <c r="F38" i="22726"/>
  <c r="CF61" i="2"/>
  <c r="CF69" i="2"/>
  <c r="CF49" i="2"/>
  <c r="CF66" i="2"/>
  <c r="CF14" i="2"/>
  <c r="CF60" i="2"/>
  <c r="CF53" i="2"/>
  <c r="CF46" i="2"/>
  <c r="CF39" i="2"/>
  <c r="CF47" i="2"/>
  <c r="E38" i="5"/>
  <c r="CF28" i="2"/>
  <c r="CF44" i="2"/>
  <c r="CF30" i="2"/>
  <c r="CF68" i="2"/>
  <c r="CF55" i="2"/>
  <c r="CF54" i="2"/>
  <c r="CF45" i="2"/>
  <c r="CF73" i="2"/>
  <c r="CF59" i="2"/>
  <c r="CF58" i="2"/>
  <c r="CF31" i="2"/>
  <c r="CF63" i="2"/>
  <c r="CF15" i="2"/>
  <c r="CF62" i="2"/>
  <c r="CF64" i="2"/>
  <c r="CF32" i="2"/>
  <c r="CF65" i="2"/>
  <c r="CE77" i="2"/>
  <c r="CF57" i="2"/>
  <c r="CF67" i="2"/>
  <c r="CE75" i="2"/>
  <c r="CF52" i="2"/>
  <c r="CF25" i="2"/>
  <c r="CF48" i="2"/>
  <c r="CF43" i="2"/>
  <c r="CF36" i="2"/>
  <c r="CF17" i="2"/>
  <c r="CF38" i="2"/>
  <c r="CF29" i="2"/>
  <c r="CF70" i="2"/>
  <c r="CF71" i="2"/>
  <c r="CL76" i="22723"/>
  <c r="CK70" i="22723" s="1"/>
  <c r="CL70" i="22723" s="1"/>
  <c r="CL71" i="22723" s="1"/>
  <c r="C38" i="22726"/>
  <c r="CF72" i="2"/>
  <c r="CM52" i="22723" l="1"/>
  <c r="CM53" i="22723"/>
  <c r="C38" i="5"/>
  <c r="CL76" i="2"/>
  <c r="CK70" i="2" s="1"/>
  <c r="CL70" i="2" s="1"/>
  <c r="F38" i="5"/>
  <c r="G38" i="5"/>
  <c r="CL72" i="22723" l="1"/>
  <c r="CL71" i="2"/>
  <c r="CL72" i="2" l="1"/>
  <c r="CL73" i="22723"/>
  <c r="CM33" i="22723" l="1"/>
  <c r="CM35" i="22723"/>
  <c r="CM34" i="22723"/>
  <c r="CM24" i="22723"/>
  <c r="CM63" i="22723"/>
  <c r="CM19" i="22723"/>
  <c r="CM22" i="22723"/>
  <c r="CM20" i="22723"/>
  <c r="CM21" i="22723"/>
  <c r="CM72" i="22723"/>
  <c r="CM16" i="22723"/>
  <c r="CL77" i="22723"/>
  <c r="CM39" i="22723"/>
  <c r="CM62" i="22723"/>
  <c r="CM60" i="22723"/>
  <c r="CM48" i="22723"/>
  <c r="CM29" i="22723"/>
  <c r="CM28" i="22723"/>
  <c r="CM32" i="22723"/>
  <c r="CM31" i="22723"/>
  <c r="CM68" i="22723"/>
  <c r="CM40" i="22723"/>
  <c r="CM46" i="22723"/>
  <c r="CM30" i="22723"/>
  <c r="CM69" i="22723"/>
  <c r="CL75" i="22723"/>
  <c r="CM49" i="22723"/>
  <c r="CM36" i="22723"/>
  <c r="CM25" i="22723"/>
  <c r="CM43" i="22723"/>
  <c r="CM47" i="22723"/>
  <c r="CM64" i="22723"/>
  <c r="CM61" i="22723"/>
  <c r="CM57" i="22723"/>
  <c r="CM58" i="22723"/>
  <c r="CM65" i="22723"/>
  <c r="CM45" i="22723"/>
  <c r="CM54" i="22723"/>
  <c r="CM15" i="22723"/>
  <c r="CM44" i="22723"/>
  <c r="CM67" i="22723"/>
  <c r="CM66" i="22723"/>
  <c r="CM17" i="22723"/>
  <c r="E39" i="22726"/>
  <c r="CM73" i="22723"/>
  <c r="CM59" i="22723"/>
  <c r="CM55" i="22723"/>
  <c r="CM38" i="22723"/>
  <c r="CM14" i="22723"/>
  <c r="CM70" i="22723"/>
  <c r="CM71" i="22723"/>
  <c r="CL73" i="2"/>
  <c r="CM35" i="2" l="1"/>
  <c r="CM33" i="2"/>
  <c r="CM34" i="2"/>
  <c r="CM42" i="2"/>
  <c r="CM40" i="2"/>
  <c r="CM41" i="2"/>
  <c r="CM19" i="2"/>
  <c r="CM21" i="2"/>
  <c r="CM20" i="2"/>
  <c r="CM22" i="2"/>
  <c r="CM16" i="2"/>
  <c r="CM55" i="2"/>
  <c r="CM30" i="2"/>
  <c r="CM64" i="2"/>
  <c r="CM32" i="2"/>
  <c r="CM52" i="2"/>
  <c r="CM15" i="2"/>
  <c r="CM25" i="2"/>
  <c r="CM62" i="2"/>
  <c r="CM57" i="2"/>
  <c r="CL77" i="2"/>
  <c r="CM67" i="2"/>
  <c r="CM17" i="2"/>
  <c r="CM24" i="2"/>
  <c r="CM38" i="2"/>
  <c r="CM68" i="2"/>
  <c r="CM60" i="2"/>
  <c r="CM63" i="2"/>
  <c r="CM59" i="2"/>
  <c r="CM48" i="2"/>
  <c r="CM73" i="2"/>
  <c r="CM69" i="2"/>
  <c r="CM65" i="2"/>
  <c r="CM31" i="2"/>
  <c r="CM45" i="2"/>
  <c r="CM47" i="2"/>
  <c r="CM49" i="2"/>
  <c r="CM29" i="2"/>
  <c r="CM66" i="2"/>
  <c r="CM53" i="2"/>
  <c r="CM14" i="2"/>
  <c r="CM43" i="2"/>
  <c r="CM28" i="2"/>
  <c r="CL75" i="2"/>
  <c r="CM39" i="2"/>
  <c r="CM61" i="2"/>
  <c r="CM44" i="2"/>
  <c r="CM46" i="2"/>
  <c r="CM54" i="2"/>
  <c r="E39" i="5"/>
  <c r="CM36" i="2"/>
  <c r="CM58" i="2"/>
  <c r="CM70" i="2"/>
  <c r="CM71" i="2"/>
  <c r="CM72" i="2"/>
  <c r="G39" i="22726"/>
  <c r="F39" i="22726"/>
  <c r="CS76" i="22723"/>
  <c r="CR70" i="22723" s="1"/>
  <c r="CS70" i="22723" s="1"/>
  <c r="CS71" i="22723" s="1"/>
  <c r="C39" i="22726"/>
  <c r="CT53" i="22723" l="1"/>
  <c r="CT52" i="22723"/>
  <c r="CS76" i="2"/>
  <c r="CR70" i="2" s="1"/>
  <c r="CS70" i="2" s="1"/>
  <c r="C39" i="5"/>
  <c r="F39" i="5"/>
  <c r="G39" i="5"/>
  <c r="CS71" i="2" l="1"/>
  <c r="CS72" i="22723"/>
  <c r="CS73" i="22723" l="1"/>
  <c r="CS72" i="2"/>
  <c r="CT63" i="22723" l="1"/>
  <c r="CT34" i="22723"/>
  <c r="CT33" i="22723"/>
  <c r="CT35" i="22723"/>
  <c r="CT19" i="22723"/>
  <c r="CT22" i="22723"/>
  <c r="CT21" i="22723"/>
  <c r="CT20" i="22723"/>
  <c r="CT72" i="22723"/>
  <c r="CT16" i="22723"/>
  <c r="CS73" i="2"/>
  <c r="CT62" i="22723"/>
  <c r="CT67" i="22723"/>
  <c r="CT45" i="22723"/>
  <c r="CT59" i="22723"/>
  <c r="CT43" i="22723"/>
  <c r="CT65" i="22723"/>
  <c r="CS75" i="22723"/>
  <c r="CT40" i="22723"/>
  <c r="E40" i="22726"/>
  <c r="CT14" i="22723"/>
  <c r="CT73" i="22723"/>
  <c r="CT66" i="22723"/>
  <c r="CT39" i="22723"/>
  <c r="CT60" i="22723"/>
  <c r="CT32" i="22723"/>
  <c r="CT29" i="22723"/>
  <c r="CS77" i="22723"/>
  <c r="CT49" i="22723"/>
  <c r="CT68" i="22723"/>
  <c r="CT30" i="22723"/>
  <c r="CT46" i="22723"/>
  <c r="CT61" i="22723"/>
  <c r="CT58" i="22723"/>
  <c r="CT64" i="22723"/>
  <c r="CT54" i="22723"/>
  <c r="CT69" i="22723"/>
  <c r="CT55" i="22723"/>
  <c r="CT28" i="22723"/>
  <c r="CT17" i="22723"/>
  <c r="CT48" i="22723"/>
  <c r="CT47" i="22723"/>
  <c r="CT25" i="22723"/>
  <c r="CT36" i="22723"/>
  <c r="CT15" i="22723"/>
  <c r="CT31" i="22723"/>
  <c r="CT57" i="22723"/>
  <c r="CT44" i="22723"/>
  <c r="CT38" i="22723"/>
  <c r="CT70" i="22723"/>
  <c r="CT71" i="22723"/>
  <c r="CT33" i="2" l="1"/>
  <c r="CT34" i="2"/>
  <c r="CT35" i="2"/>
  <c r="CT16" i="2"/>
  <c r="CT42" i="2"/>
  <c r="CT41" i="2"/>
  <c r="CT40" i="2"/>
  <c r="CT72" i="2"/>
  <c r="CT21" i="2"/>
  <c r="CT19" i="2"/>
  <c r="CT20" i="2"/>
  <c r="CT22" i="2"/>
  <c r="CZ76" i="22723"/>
  <c r="CY70" i="22723" s="1"/>
  <c r="CZ70" i="22723" s="1"/>
  <c r="CZ71" i="22723" s="1"/>
  <c r="C40" i="22726"/>
  <c r="G40" i="22726"/>
  <c r="F40" i="22726"/>
  <c r="CS77" i="2"/>
  <c r="CT62" i="2"/>
  <c r="CT28" i="2"/>
  <c r="CT59" i="2"/>
  <c r="CT17" i="2"/>
  <c r="CT36" i="2"/>
  <c r="CT73" i="2"/>
  <c r="CT46" i="2"/>
  <c r="CT38" i="2"/>
  <c r="CT29" i="2"/>
  <c r="E40" i="5"/>
  <c r="CT32" i="2"/>
  <c r="CT57" i="2"/>
  <c r="CT52" i="2"/>
  <c r="CT39" i="2"/>
  <c r="CT45" i="2"/>
  <c r="CT69" i="2"/>
  <c r="CT66" i="2"/>
  <c r="CT68" i="2"/>
  <c r="CT44" i="2"/>
  <c r="CT31" i="2"/>
  <c r="CT14" i="2"/>
  <c r="CT58" i="2"/>
  <c r="CT48" i="2"/>
  <c r="CT55" i="2"/>
  <c r="CT47" i="2"/>
  <c r="CT30" i="2"/>
  <c r="CT54" i="2"/>
  <c r="CT65" i="2"/>
  <c r="CT67" i="2"/>
  <c r="CT49" i="2"/>
  <c r="CT63" i="2"/>
  <c r="CT53" i="2"/>
  <c r="CT64" i="2"/>
  <c r="CT60" i="2"/>
  <c r="CT15" i="2"/>
  <c r="CT43" i="2"/>
  <c r="CT25" i="2"/>
  <c r="CT61" i="2"/>
  <c r="CS75" i="2"/>
  <c r="CT70" i="2"/>
  <c r="CT71" i="2"/>
  <c r="DA53" i="22723" l="1"/>
  <c r="DA52" i="22723"/>
  <c r="G40" i="5"/>
  <c r="F40" i="5"/>
  <c r="CZ76" i="2"/>
  <c r="CY70" i="2" s="1"/>
  <c r="CZ70" i="2" s="1"/>
  <c r="C40" i="5"/>
  <c r="CZ71" i="2" l="1"/>
  <c r="CZ72" i="22723"/>
  <c r="CZ73" i="22723" l="1"/>
  <c r="CZ72" i="2"/>
  <c r="DA63" i="22723" l="1"/>
  <c r="DA35" i="22723"/>
  <c r="DA34" i="22723"/>
  <c r="DA33" i="22723"/>
  <c r="DA19" i="22723"/>
  <c r="DA20" i="22723"/>
  <c r="DA22" i="22723"/>
  <c r="DA21" i="22723"/>
  <c r="DA72" i="22723"/>
  <c r="DA16" i="22723"/>
  <c r="CZ73" i="2"/>
  <c r="DA39" i="22723"/>
  <c r="DA14" i="22723"/>
  <c r="DA68" i="22723"/>
  <c r="DA69" i="22723"/>
  <c r="DA47" i="22723"/>
  <c r="DA31" i="22723"/>
  <c r="DA61" i="22723"/>
  <c r="DA36" i="22723"/>
  <c r="DA67" i="22723"/>
  <c r="DA59" i="22723"/>
  <c r="DA48" i="22723"/>
  <c r="DA55" i="22723"/>
  <c r="DA62" i="22723"/>
  <c r="DA28" i="22723"/>
  <c r="DA45" i="22723"/>
  <c r="DA46" i="22723"/>
  <c r="DA58" i="22723"/>
  <c r="DA64" i="22723"/>
  <c r="CZ75" i="22723"/>
  <c r="DA30" i="22723"/>
  <c r="DA73" i="22723"/>
  <c r="DA49" i="22723"/>
  <c r="DA32" i="22723"/>
  <c r="DA43" i="22723"/>
  <c r="E41" i="22726"/>
  <c r="DA66" i="22723"/>
  <c r="DA38" i="22723"/>
  <c r="DA54" i="22723"/>
  <c r="DA60" i="22723"/>
  <c r="DA65" i="22723"/>
  <c r="DA40" i="22723"/>
  <c r="DA17" i="22723"/>
  <c r="DA29" i="22723"/>
  <c r="DA25" i="22723"/>
  <c r="DA44" i="22723"/>
  <c r="CZ77" i="22723"/>
  <c r="DA57" i="22723"/>
  <c r="DA15" i="22723"/>
  <c r="DA70" i="22723"/>
  <c r="DA71" i="22723"/>
  <c r="DA34" i="2" l="1"/>
  <c r="DA33" i="2"/>
  <c r="DA35" i="2"/>
  <c r="DA16" i="2"/>
  <c r="DA42" i="2"/>
  <c r="DA41" i="2"/>
  <c r="DA40" i="2"/>
  <c r="DA19" i="2"/>
  <c r="DA20" i="2"/>
  <c r="DA21" i="2"/>
  <c r="DA22" i="2"/>
  <c r="C41" i="22726"/>
  <c r="DG76" i="22723"/>
  <c r="DF70" i="22723" s="1"/>
  <c r="DG70" i="22723" s="1"/>
  <c r="DG71" i="22723" s="1"/>
  <c r="G41" i="22726"/>
  <c r="F41" i="22726"/>
  <c r="E41" i="5"/>
  <c r="DA36" i="2"/>
  <c r="DA64" i="2"/>
  <c r="DA46" i="2"/>
  <c r="DA28" i="2"/>
  <c r="DA14" i="2"/>
  <c r="DA48" i="2"/>
  <c r="DA15" i="2"/>
  <c r="DA17" i="2"/>
  <c r="DA66" i="2"/>
  <c r="DA68" i="2"/>
  <c r="DA29" i="2"/>
  <c r="DA43" i="2"/>
  <c r="DA25" i="2"/>
  <c r="DA39" i="2"/>
  <c r="DA31" i="2"/>
  <c r="DA30" i="2"/>
  <c r="DA38" i="2"/>
  <c r="DA32" i="2"/>
  <c r="DA47" i="2"/>
  <c r="DA44" i="2"/>
  <c r="DA55" i="2"/>
  <c r="CZ77" i="2"/>
  <c r="CZ75" i="2"/>
  <c r="DA73" i="2"/>
  <c r="DA58" i="2"/>
  <c r="DA61" i="2"/>
  <c r="DA53" i="2"/>
  <c r="DA57" i="2"/>
  <c r="DA45" i="2"/>
  <c r="DA69" i="2"/>
  <c r="DA62" i="2"/>
  <c r="DA63" i="2"/>
  <c r="DA52" i="2"/>
  <c r="DA59" i="2"/>
  <c r="DA49" i="2"/>
  <c r="DA67" i="2"/>
  <c r="DA54" i="2"/>
  <c r="DA65" i="2"/>
  <c r="DA60" i="2"/>
  <c r="DA70" i="2"/>
  <c r="DA71" i="2"/>
  <c r="DA72" i="2"/>
  <c r="DH52" i="22723" l="1"/>
  <c r="DH53" i="22723"/>
  <c r="C41" i="5"/>
  <c r="DG76" i="2"/>
  <c r="DF70" i="2" s="1"/>
  <c r="DG70" i="2" s="1"/>
  <c r="F41" i="5"/>
  <c r="G41" i="5"/>
  <c r="DG72" i="22723" l="1"/>
  <c r="DG73" i="22723" s="1"/>
  <c r="DG71" i="2"/>
  <c r="DG72" i="2" l="1"/>
  <c r="DG73" i="2" s="1"/>
  <c r="DH33" i="22723" l="1"/>
  <c r="DH35" i="22723"/>
  <c r="DH34" i="22723"/>
  <c r="DH63" i="22723"/>
  <c r="DH42" i="22723"/>
  <c r="DH41" i="22723"/>
  <c r="DH19" i="22723"/>
  <c r="DH22" i="22723"/>
  <c r="DH20" i="22723"/>
  <c r="DH21" i="22723"/>
  <c r="DH72" i="22723"/>
  <c r="DH16" i="22723"/>
  <c r="DH45" i="22723"/>
  <c r="DH58" i="22723"/>
  <c r="DH32" i="22723"/>
  <c r="DH62" i="22723"/>
  <c r="DH39" i="22723"/>
  <c r="DH59" i="22723"/>
  <c r="DG77" i="22723"/>
  <c r="C42" i="22726" s="1"/>
  <c r="DH28" i="22723"/>
  <c r="DH66" i="22723"/>
  <c r="DH17" i="22723"/>
  <c r="DH46" i="22723"/>
  <c r="DH73" i="22723"/>
  <c r="DH54" i="22723"/>
  <c r="DH29" i="22723"/>
  <c r="DH44" i="22723"/>
  <c r="DH43" i="22723"/>
  <c r="DH30" i="22723"/>
  <c r="DH57" i="22723"/>
  <c r="DH15" i="22723"/>
  <c r="DH60" i="22723"/>
  <c r="DH47" i="22723"/>
  <c r="DH25" i="22723"/>
  <c r="DH31" i="22723"/>
  <c r="DH68" i="22723"/>
  <c r="DH67" i="22723"/>
  <c r="DH36" i="22723"/>
  <c r="DH49" i="22723"/>
  <c r="E42" i="22726"/>
  <c r="DH48" i="22723"/>
  <c r="DH64" i="22723"/>
  <c r="DG75" i="22723"/>
  <c r="DH55" i="22723"/>
  <c r="DH40" i="22723"/>
  <c r="DH65" i="22723"/>
  <c r="DH61" i="22723"/>
  <c r="DH69" i="22723"/>
  <c r="DH38" i="22723"/>
  <c r="DH14" i="22723"/>
  <c r="AI35" i="22723"/>
  <c r="DH70" i="22723"/>
  <c r="DH71" i="22723"/>
  <c r="DH35" i="2" l="1"/>
  <c r="DH34" i="2"/>
  <c r="DH33" i="2"/>
  <c r="DH16" i="2"/>
  <c r="DH41" i="2"/>
  <c r="DH42" i="2"/>
  <c r="DH40" i="2"/>
  <c r="DH72" i="2"/>
  <c r="DH19" i="2"/>
  <c r="DH21" i="2"/>
  <c r="DH20" i="2"/>
  <c r="DH22" i="2"/>
  <c r="G42" i="22726"/>
  <c r="F42" i="22726"/>
  <c r="E42" i="5"/>
  <c r="DH68" i="2"/>
  <c r="DH25" i="2"/>
  <c r="DH62" i="2"/>
  <c r="DH54" i="2"/>
  <c r="DH43" i="2"/>
  <c r="DH32" i="2"/>
  <c r="DH64" i="2"/>
  <c r="DH45" i="2"/>
  <c r="DH55" i="2"/>
  <c r="DH15" i="2"/>
  <c r="DG75" i="2"/>
  <c r="DH69" i="2"/>
  <c r="DH60" i="2"/>
  <c r="DH67" i="2"/>
  <c r="DH44" i="2"/>
  <c r="DH63" i="2"/>
  <c r="DH58" i="2"/>
  <c r="DH57" i="2"/>
  <c r="DH48" i="2"/>
  <c r="DH66" i="2"/>
  <c r="DH29" i="2"/>
  <c r="DH47" i="2"/>
  <c r="DH65" i="2"/>
  <c r="DH39" i="2"/>
  <c r="DH53" i="2"/>
  <c r="DH36" i="2"/>
  <c r="DH14" i="2"/>
  <c r="DH49" i="2"/>
  <c r="DH30" i="2"/>
  <c r="DH38" i="2"/>
  <c r="DH52" i="2"/>
  <c r="DH28" i="2"/>
  <c r="DH59" i="2"/>
  <c r="DG77" i="2"/>
  <c r="C42" i="5" s="1"/>
  <c r="DH31" i="2"/>
  <c r="DH46" i="2"/>
  <c r="DH73" i="2"/>
  <c r="DH17" i="2"/>
  <c r="DH61" i="2"/>
  <c r="DH70" i="2"/>
  <c r="DH71" i="2"/>
  <c r="J64" i="22715"/>
  <c r="D46" i="22726"/>
  <c r="D46" i="5" l="1"/>
  <c r="H64" i="22715"/>
  <c r="I64" i="22715" s="1"/>
  <c r="G42" i="5"/>
  <c r="F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Prevost Martina</author>
    <author>FAW</author>
  </authors>
  <commentList>
    <comment ref="A8" authorId="0" shapeId="0" xr:uid="{C9C4A574-1CBB-4A53-B8B8-60F06DBADDF5}">
      <text>
        <r>
          <rPr>
            <b/>
            <sz val="9"/>
            <color indexed="81"/>
            <rFont val="Segoe UI"/>
            <family val="2"/>
          </rPr>
          <t>Prevost Martina:</t>
        </r>
        <r>
          <rPr>
            <sz val="9"/>
            <color indexed="81"/>
            <rFont val="Segoe UI"/>
            <family val="2"/>
          </rPr>
          <t xml:space="preserve">
späte Sorten 24+ mm</t>
        </r>
      </text>
    </comment>
    <comment ref="A10" authorId="0" shapeId="0" xr:uid="{F1F2AB86-1ACA-4CEE-92FD-ADC7B862F175}">
      <text>
        <r>
          <rPr>
            <b/>
            <sz val="9"/>
            <color indexed="81"/>
            <rFont val="Segoe UI"/>
            <family val="2"/>
          </rPr>
          <t>Prevost Martina:</t>
        </r>
        <r>
          <rPr>
            <sz val="9"/>
            <color indexed="81"/>
            <rFont val="Segoe UI"/>
            <family val="2"/>
          </rPr>
          <t xml:space="preserve">
späte Sorten 24+ mm</t>
        </r>
      </text>
    </comment>
    <comment ref="G41" authorId="1" shapeId="0" xr:uid="{00000000-0006-0000-0000-000002000000}">
      <text>
        <r>
          <rPr>
            <sz val="9"/>
            <color indexed="81"/>
            <rFont val="Tahoma"/>
            <family val="2"/>
          </rPr>
          <t>Dünger + PBM + Hagelversicherung + Abzüge + var. Maschinenkosten + Lohnkosten</t>
        </r>
      </text>
    </comment>
    <comment ref="A45" authorId="0" shapeId="0" xr:uid="{ACD5B7E3-E3BB-4C3A-8CF8-B90C266CA646}">
      <text>
        <r>
          <rPr>
            <b/>
            <sz val="9"/>
            <color indexed="81"/>
            <rFont val="Segoe UI"/>
            <family val="2"/>
          </rPr>
          <t>Prevost Martina:</t>
        </r>
        <r>
          <rPr>
            <sz val="9"/>
            <color indexed="81"/>
            <rFont val="Segoe UI"/>
            <family val="2"/>
          </rPr>
          <t xml:space="preserve">
späte Sorten 24+ mm</t>
        </r>
      </text>
    </comment>
    <comment ref="A53" authorId="0" shapeId="0" xr:uid="{5DA6E16B-0560-4E77-8960-A522FDC3F9DD}">
      <text>
        <r>
          <rPr>
            <b/>
            <sz val="9"/>
            <color indexed="81"/>
            <rFont val="Segoe UI"/>
            <family val="2"/>
          </rPr>
          <t>Prevost Martina:</t>
        </r>
        <r>
          <rPr>
            <sz val="9"/>
            <color indexed="81"/>
            <rFont val="Segoe UI"/>
            <family val="2"/>
          </rPr>
          <t xml:space="preserve">
späte Sorten 24+ mm</t>
        </r>
      </text>
    </comment>
    <comment ref="A56" authorId="0" shapeId="0" xr:uid="{AA512F74-6E8C-4F20-991F-063BDA8C78B5}">
      <text>
        <r>
          <rPr>
            <b/>
            <sz val="9"/>
            <color indexed="81"/>
            <rFont val="Segoe UI"/>
            <family val="2"/>
          </rPr>
          <t>Prevost Martina:</t>
        </r>
        <r>
          <rPr>
            <sz val="9"/>
            <color indexed="81"/>
            <rFont val="Segoe UI"/>
            <family val="2"/>
          </rPr>
          <t xml:space="preserve">
Anlage mit Gerüst und Bewässerungsanlage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 Mouron</author>
    <author>Prevost Martina</author>
  </authors>
  <commentList>
    <comment ref="E6" authorId="0" shapeId="0" xr:uid="{00000000-0006-0000-0900-000001000000}">
      <text>
        <r>
          <rPr>
            <sz val="10"/>
            <color indexed="81"/>
            <rFont val="Tahoma"/>
            <family val="2"/>
          </rPr>
          <t>Kosten für Gebindebenutzung und Transport (vom Betrieb zur Genossenschaft) sind hier pauschal bereits abgezogen.</t>
        </r>
        <r>
          <rPr>
            <sz val="8"/>
            <color indexed="81"/>
            <rFont val="Tahoma"/>
            <family val="2"/>
          </rPr>
          <t xml:space="preserve">
</t>
        </r>
      </text>
    </comment>
    <comment ref="B7" authorId="1" shapeId="0" xr:uid="{5CDDCECC-CFF6-44E5-866F-05A33AD44F29}">
      <text>
        <r>
          <rPr>
            <b/>
            <sz val="9"/>
            <color indexed="81"/>
            <rFont val="Segoe UI"/>
            <family val="2"/>
          </rPr>
          <t>Prevost Martina:</t>
        </r>
        <r>
          <rPr>
            <sz val="9"/>
            <color indexed="81"/>
            <rFont val="Segoe UI"/>
            <family val="2"/>
          </rPr>
          <t xml:space="preserve">
späte Sorten 24+ mm</t>
        </r>
      </text>
    </comment>
    <comment ref="C14" authorId="1" shapeId="0" xr:uid="{24B8281B-E938-4B07-9F40-F72AFF988678}">
      <text>
        <r>
          <rPr>
            <b/>
            <sz val="9"/>
            <color indexed="81"/>
            <rFont val="Segoe UI"/>
            <family val="2"/>
          </rPr>
          <t>Prevost Martina:</t>
        </r>
        <r>
          <rPr>
            <sz val="9"/>
            <color indexed="81"/>
            <rFont val="Segoe UI"/>
            <family val="2"/>
          </rPr>
          <t xml:space="preserve">
alle 2 von 3 Jahren</t>
        </r>
      </text>
    </comment>
    <comment ref="D14" authorId="1" shapeId="0" xr:uid="{5A7EED24-2883-406B-9D41-D06B80CDA69F}">
      <text>
        <r>
          <rPr>
            <b/>
            <sz val="9"/>
            <color indexed="81"/>
            <rFont val="Segoe UI"/>
            <family val="2"/>
          </rPr>
          <t>Prevost Martina:</t>
        </r>
        <r>
          <rPr>
            <sz val="9"/>
            <color indexed="81"/>
            <rFont val="Segoe UI"/>
            <family val="2"/>
          </rPr>
          <t xml:space="preserve">
alle 2 von 3 Jahren</t>
        </r>
      </text>
    </comment>
    <comment ref="C15" authorId="1" shapeId="0" xr:uid="{78C648A9-F827-4C1B-9346-42EA7FDF5BEA}">
      <text>
        <r>
          <rPr>
            <b/>
            <sz val="9"/>
            <color indexed="81"/>
            <rFont val="Segoe UI"/>
            <family val="2"/>
          </rPr>
          <t>Prevost Martina:</t>
        </r>
        <r>
          <rPr>
            <sz val="9"/>
            <color indexed="81"/>
            <rFont val="Segoe UI"/>
            <family val="2"/>
          </rPr>
          <t xml:space="preserve">
Alle drei Jahre</t>
        </r>
      </text>
    </comment>
    <comment ref="D15" authorId="1" shapeId="0" xr:uid="{112A6649-7D0B-4790-BC1D-399DF7DF64EA}">
      <text>
        <r>
          <rPr>
            <b/>
            <sz val="9"/>
            <color indexed="81"/>
            <rFont val="Segoe UI"/>
            <family val="2"/>
          </rPr>
          <t>Prevost Martina:</t>
        </r>
        <r>
          <rPr>
            <sz val="9"/>
            <color indexed="81"/>
            <rFont val="Segoe UI"/>
            <family val="2"/>
          </rPr>
          <t xml:space="preserve">
Alle drei Jahre</t>
        </r>
      </text>
    </comment>
    <comment ref="C16" authorId="0" shapeId="0" xr:uid="{00000000-0006-0000-0900-000002000000}">
      <text>
        <r>
          <rPr>
            <sz val="8"/>
            <color indexed="81"/>
            <rFont val="Tahoma"/>
            <family val="2"/>
          </rPr>
          <t xml:space="preserve">Anzahl Fahrten
</t>
        </r>
      </text>
    </comment>
    <comment ref="F23" authorId="0" shapeId="0" xr:uid="{00000000-0006-0000-0900-000003000000}">
      <text>
        <r>
          <rPr>
            <sz val="10"/>
            <color indexed="81"/>
            <rFont val="Tahoma"/>
            <family val="2"/>
          </rPr>
          <t xml:space="preserve">Versicherungssumme   20'000.- Fr.
</t>
        </r>
      </text>
    </comment>
    <comment ref="C30" authorId="0" shapeId="0" xr:uid="{00000000-0006-0000-0900-000004000000}">
      <text>
        <r>
          <rPr>
            <sz val="8"/>
            <color indexed="81"/>
            <rFont val="Tahoma"/>
            <family val="2"/>
          </rPr>
          <t xml:space="preserve">
Annahme: Eine 2. Folie ist ca. im 9 Stj. notwendig.
Zur Vereinfachung wird gerechnet, wie wenn die Folie zu Beginn Vollertrag bereitsgekauft wäre. Deshalb die Abschreibedauer von 12 J., obwohl für die Folie nur mit einer Einsatzdauer von 6 ausgegangen werden kann. </t>
        </r>
      </text>
    </comment>
    <comment ref="C31" authorId="1" shapeId="0" xr:uid="{54772635-EE73-440C-ACF6-58CCD2067A0A}">
      <text>
        <r>
          <rPr>
            <b/>
            <sz val="9"/>
            <color indexed="81"/>
            <rFont val="Segoe UI"/>
            <family val="2"/>
          </rPr>
          <t>Prevost Martina:</t>
        </r>
        <r>
          <rPr>
            <sz val="9"/>
            <color indexed="81"/>
            <rFont val="Segoe UI"/>
            <family val="2"/>
          </rPr>
          <t xml:space="preserve">
Annahme: Ein Ersatz Einnetzung/Hagelnetz ist ca. im 10 Stj. notwendig.
Zur Vereinfachung wird gerechnet, wie wenn die Netze zu Beginn Vollertrag bereitsgekauft wären. Deshalb die Abschreibedauer von 12 J., obwohl für die Netze nur mit einer Einsatzdauer von 7 ausgegangen werden kann. </t>
        </r>
      </text>
    </comment>
    <comment ref="E39" authorId="0" shapeId="0" xr:uid="{00000000-0006-0000-0900-000005000000}">
      <text>
        <r>
          <rPr>
            <sz val="8"/>
            <color indexed="81"/>
            <rFont val="Tahoma"/>
            <family val="2"/>
          </rPr>
          <t xml:space="preserve">
Fr./Durchgang = Fr./ha weil Arbokost die Kosten für 1 ha ausweist
FAT-Ansätze für fixe+variable Kosten</t>
        </r>
      </text>
    </comment>
    <comment ref="E42" authorId="1" shapeId="0" xr:uid="{792FDCCB-1290-4591-B670-E28735B37341}">
      <text>
        <r>
          <rPr>
            <b/>
            <sz val="9"/>
            <color indexed="81"/>
            <rFont val="Segoe UI"/>
            <family val="2"/>
          </rPr>
          <t>Prevost Martina:</t>
        </r>
        <r>
          <rPr>
            <sz val="9"/>
            <color indexed="81"/>
            <rFont val="Segoe UI"/>
            <family val="2"/>
          </rPr>
          <t xml:space="preserve">
Fr./Fu</t>
        </r>
      </text>
    </comment>
    <comment ref="E45" authorId="1" shapeId="0" xr:uid="{4F255AFC-2BE8-45AE-8979-AED7E3B29837}">
      <text>
        <r>
          <rPr>
            <b/>
            <sz val="9"/>
            <color indexed="81"/>
            <rFont val="Segoe UI"/>
            <family val="2"/>
          </rPr>
          <t>Prevost Martina:</t>
        </r>
        <r>
          <rPr>
            <sz val="9"/>
            <color indexed="81"/>
            <rFont val="Segoe UI"/>
            <family val="2"/>
          </rPr>
          <t xml:space="preserve">
Fr./h</t>
        </r>
      </text>
    </comment>
    <comment ref="E48" authorId="1" shapeId="0" xr:uid="{C34F28E5-EF94-4B09-95FE-A98106E40739}">
      <text>
        <r>
          <rPr>
            <b/>
            <sz val="9"/>
            <color indexed="81"/>
            <rFont val="Segoe UI"/>
            <family val="2"/>
          </rPr>
          <t>Prevost Martina:</t>
        </r>
        <r>
          <rPr>
            <sz val="9"/>
            <color indexed="81"/>
            <rFont val="Segoe UI"/>
            <family val="2"/>
          </rPr>
          <t xml:space="preserve">
Fr./h</t>
        </r>
      </text>
    </comment>
    <comment ref="E51" authorId="1" shapeId="0" xr:uid="{E7D7CCB9-1930-4CF8-8E56-6733C620B568}">
      <text>
        <r>
          <rPr>
            <b/>
            <sz val="9"/>
            <color indexed="81"/>
            <rFont val="Segoe UI"/>
            <family val="2"/>
          </rPr>
          <t>Prevost Martina:</t>
        </r>
        <r>
          <rPr>
            <sz val="9"/>
            <color indexed="81"/>
            <rFont val="Segoe UI"/>
            <family val="2"/>
          </rPr>
          <t xml:space="preserve">
Fr./h</t>
        </r>
      </text>
    </comment>
    <comment ref="A82" authorId="0" shapeId="0" xr:uid="{00000000-0006-0000-0900-000007000000}">
      <text>
        <r>
          <rPr>
            <sz val="8"/>
            <color indexed="81"/>
            <rFont val="Tahoma"/>
            <family val="2"/>
          </rPr>
          <t xml:space="preserve">
</t>
        </r>
        <r>
          <rPr>
            <sz val="10"/>
            <color indexed="81"/>
            <rFont val="Tahoma"/>
            <family val="2"/>
          </rPr>
          <t>Wenn dieser Betrag mit dem Gesamterlös im Durchschnitt nicht gedeckt werden kann, sollte die Parzelle gerodet werden.
Mit dem Betriebsminimum werden die variablen Kosten gedeckt. Nicht gedeckt sind: Abschreibung Obstanlage, Abschreibung Maschinen und Zinsanspruch</t>
        </r>
      </text>
    </comment>
    <comment ref="C88" authorId="1" shapeId="0" xr:uid="{E58FA683-B87F-499D-A317-6DFE950F71DA}">
      <text>
        <r>
          <rPr>
            <b/>
            <sz val="9"/>
            <color indexed="81"/>
            <rFont val="Segoe UI"/>
            <family val="2"/>
          </rPr>
          <t>Prevost Martina:</t>
        </r>
        <r>
          <rPr>
            <sz val="9"/>
            <color indexed="81"/>
            <rFont val="Segoe UI"/>
            <family val="2"/>
          </rPr>
          <t xml:space="preserve">
späte Sorten 24+ mm</t>
        </r>
      </text>
    </comment>
    <comment ref="A92" authorId="0" shapeId="0" xr:uid="{00000000-0006-0000-0900-000008000000}">
      <text>
        <r>
          <rPr>
            <b/>
            <sz val="8"/>
            <color indexed="81"/>
            <rFont val="Tahoma"/>
            <family val="2"/>
          </rPr>
          <t>M.Zürcher:</t>
        </r>
        <r>
          <rPr>
            <sz val="8"/>
            <color indexed="81"/>
            <rFont val="Tahoma"/>
            <family val="2"/>
          </rPr>
          <t xml:space="preserve">
</t>
        </r>
        <r>
          <rPr>
            <sz val="10"/>
            <color indexed="81"/>
            <rFont val="Tahoma"/>
            <family val="2"/>
          </rPr>
          <t>siehe: Betriebswirtschaftliche Begriffe im Agrarbereich, LMZ 2005</t>
        </r>
      </text>
    </comment>
    <comment ref="A94" authorId="0" shapeId="0" xr:uid="{00000000-0006-0000-0900-000009000000}">
      <text>
        <r>
          <rPr>
            <sz val="8"/>
            <color indexed="81"/>
            <rFont val="Tahoma"/>
            <family val="2"/>
          </rPr>
          <t xml:space="preserve">
</t>
        </r>
        <r>
          <rPr>
            <sz val="10"/>
            <color indexed="81"/>
            <rFont val="Tahoma"/>
            <family val="2"/>
          </rPr>
          <t>Summe aus Zinsanspruch für das Eigenkapital und bezahlten Schuld- und Pachtzinsen ((Betriebswirtschaftliche Begriffe im Agrarbereich, LMZ 2005)
Hier: Zins für Investitionen und Boden.</t>
        </r>
      </text>
    </comment>
    <comment ref="A95" authorId="0" shapeId="0" xr:uid="{00000000-0006-0000-0900-00000A000000}">
      <text>
        <r>
          <rPr>
            <sz val="10"/>
            <color indexed="81"/>
            <rFont val="Tahoma"/>
            <family val="2"/>
          </rPr>
          <t xml:space="preserve">
Kosten für die in der Produktion eingesetzten Produktionsmittel </t>
        </r>
        <r>
          <rPr>
            <b/>
            <i/>
            <sz val="10"/>
            <color indexed="81"/>
            <rFont val="Tahoma"/>
            <family val="2"/>
          </rPr>
          <t>einschliesslich der Abschreibungen</t>
        </r>
        <r>
          <rPr>
            <sz val="10"/>
            <color indexed="81"/>
            <rFont val="Tahoma"/>
            <family val="2"/>
          </rPr>
          <t>, aber ohne die Entschädigung für die Produktionsfaktoren Arbeit und Kapital. (Betriebswirtschaftliche Begriffe im Agrarbereich, LMZ 2005)</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Prevost Martina</author>
  </authors>
  <commentList>
    <comment ref="E21" authorId="0" shapeId="0" xr:uid="{85AE7CD3-C50A-4461-887D-42B4085D5767}">
      <text>
        <r>
          <rPr>
            <b/>
            <sz val="9"/>
            <color indexed="81"/>
            <rFont val="Segoe UI"/>
            <family val="2"/>
          </rPr>
          <t>Prevost Martina:</t>
        </r>
        <r>
          <rPr>
            <sz val="9"/>
            <color indexed="81"/>
            <rFont val="Segoe UI"/>
            <family val="2"/>
          </rPr>
          <t xml:space="preserve">
späte Sorten 24+ mm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FAW</author>
    <author>Prevost Martina</author>
    <author>P. Mouron</author>
    <author>referent</author>
    <author>Louw-Prevost Martina AGROSCOPE</author>
  </authors>
  <commentList>
    <comment ref="B11" authorId="0" shapeId="0" xr:uid="{00000000-0006-0000-0100-000001000000}">
      <text>
        <r>
          <rPr>
            <sz val="10"/>
            <color indexed="81"/>
            <rFont val="Tahoma"/>
            <family val="2"/>
          </rPr>
          <t>Berechnung siehe Tabelle "Var Erstellung"</t>
        </r>
      </text>
    </comment>
    <comment ref="B20" authorId="1" shapeId="0" xr:uid="{6C782A66-3D16-4F32-AE9F-78DDDC6ECA51}">
      <text>
        <r>
          <rPr>
            <b/>
            <sz val="9"/>
            <color indexed="81"/>
            <rFont val="Segoe UI"/>
            <family val="2"/>
          </rPr>
          <t>Prevost Martina:</t>
        </r>
        <r>
          <rPr>
            <sz val="9"/>
            <color indexed="81"/>
            <rFont val="Segoe UI"/>
            <family val="2"/>
          </rPr>
          <t xml:space="preserve">
späte Sorten 24+ mm</t>
        </r>
      </text>
    </comment>
    <comment ref="A26" authorId="0" shapeId="0" xr:uid="{00000000-0006-0000-0100-000002000000}">
      <text>
        <r>
          <rPr>
            <sz val="8"/>
            <color indexed="81"/>
            <rFont val="Tahoma"/>
            <family val="2"/>
          </rPr>
          <t>Quelle M Salathé:
Kordia benötigt keine Lizenz</t>
        </r>
      </text>
    </comment>
    <comment ref="F35" authorId="1" shapeId="0" xr:uid="{511E4304-5A25-4ACC-9BA3-301BD6D65DE5}">
      <text>
        <r>
          <rPr>
            <b/>
            <sz val="9"/>
            <color indexed="81"/>
            <rFont val="Segoe UI"/>
            <family val="2"/>
          </rPr>
          <t xml:space="preserve">Prevost Martina:
</t>
        </r>
        <r>
          <rPr>
            <sz val="9"/>
            <color indexed="81"/>
            <rFont val="Segoe UI"/>
            <family val="2"/>
          </rPr>
          <t>für Transport</t>
        </r>
      </text>
    </comment>
    <comment ref="C36" authorId="2" shapeId="0" xr:uid="{00000000-0006-0000-0100-000003000000}">
      <text>
        <r>
          <rPr>
            <sz val="10"/>
            <color indexed="81"/>
            <rFont val="Tahoma"/>
            <family val="2"/>
          </rPr>
          <t>Nach FAT
genauer Faktor bei 12 Jahren Abschreibungsdauer: 0.542</t>
        </r>
      </text>
    </comment>
    <comment ref="B40" authorId="0" shapeId="0" xr:uid="{00000000-0006-0000-0100-000006000000}">
      <text>
        <r>
          <rPr>
            <sz val="10"/>
            <color indexed="81"/>
            <rFont val="Tahoma"/>
            <family val="2"/>
          </rPr>
          <t>späte Sorten 24+ mm
Schale von 500g netto, Fr./kg ohne Gebinde</t>
        </r>
        <r>
          <rPr>
            <sz val="8"/>
            <color indexed="81"/>
            <rFont val="Tahoma"/>
            <family val="2"/>
          </rPr>
          <t xml:space="preserve">
</t>
        </r>
      </text>
    </comment>
    <comment ref="B63" authorId="1" shapeId="0" xr:uid="{62A06136-46DC-4CD5-B5A0-E33802BBDA8F}">
      <text>
        <r>
          <rPr>
            <b/>
            <sz val="9"/>
            <color indexed="81"/>
            <rFont val="Segoe UI"/>
            <family val="2"/>
          </rPr>
          <t>Prevost Martina:</t>
        </r>
        <r>
          <rPr>
            <sz val="9"/>
            <color indexed="81"/>
            <rFont val="Segoe UI"/>
            <family val="2"/>
          </rPr>
          <t xml:space="preserve">
späte Sorten 24+ mm</t>
        </r>
      </text>
    </comment>
    <comment ref="D63" authorId="2" shapeId="0" xr:uid="{00000000-0006-0000-0100-000007000000}">
      <text>
        <r>
          <rPr>
            <sz val="8"/>
            <color indexed="81"/>
            <rFont val="Tahoma"/>
            <family val="2"/>
          </rPr>
          <t>Ernte in Grosskisten, sortiert am Baum,
inkl. Transport und Gebindeumschlag)</t>
        </r>
      </text>
    </comment>
    <comment ref="C96" authorId="3" shapeId="0" xr:uid="{E185A689-80DF-46ED-BCE4-6450747BB064}">
      <text>
        <r>
          <rPr>
            <b/>
            <sz val="8"/>
            <color indexed="81"/>
            <rFont val="Tahoma"/>
            <family val="2"/>
          </rPr>
          <t>referent:</t>
        </r>
        <r>
          <rPr>
            <sz val="8"/>
            <color indexed="81"/>
            <rFont val="Tahoma"/>
            <family val="2"/>
          </rPr>
          <t xml:space="preserve">
Transportkosten</t>
        </r>
      </text>
    </comment>
    <comment ref="D96" authorId="3" shapeId="0" xr:uid="{89C05A76-3373-4A34-80BC-24FB6ED50ABB}">
      <text>
        <r>
          <rPr>
            <b/>
            <sz val="8"/>
            <color indexed="81"/>
            <rFont val="Tahoma"/>
            <family val="2"/>
          </rPr>
          <t>referent:</t>
        </r>
        <r>
          <rPr>
            <sz val="8"/>
            <color indexed="81"/>
            <rFont val="Tahoma"/>
            <family val="2"/>
          </rPr>
          <t xml:space="preserve">
Transportkosten</t>
        </r>
      </text>
    </comment>
    <comment ref="D102" authorId="1" shapeId="0" xr:uid="{7E635581-CDAD-4B0C-B3D8-B82C977282AA}">
      <text>
        <r>
          <rPr>
            <b/>
            <sz val="9"/>
            <color indexed="81"/>
            <rFont val="Segoe UI"/>
            <family val="2"/>
          </rPr>
          <t>Prevost Martina:</t>
        </r>
        <r>
          <rPr>
            <sz val="9"/>
            <color indexed="81"/>
            <rFont val="Segoe UI"/>
            <family val="2"/>
          </rPr>
          <t xml:space="preserve">
1/3 weniger als Ertragsphase</t>
        </r>
      </text>
    </comment>
    <comment ref="C104" authorId="1" shapeId="0" xr:uid="{3D7C3B25-38E5-49D6-A53A-C7EBC2E4B46D}">
      <text>
        <r>
          <rPr>
            <b/>
            <sz val="9"/>
            <color indexed="81"/>
            <rFont val="Segoe UI"/>
            <family val="2"/>
          </rPr>
          <t>Prevost Martina:</t>
        </r>
        <r>
          <rPr>
            <sz val="9"/>
            <color indexed="81"/>
            <rFont val="Segoe UI"/>
            <family val="2"/>
          </rPr>
          <t xml:space="preserve">
1/3 weniger als Ertragsphase</t>
        </r>
      </text>
    </comment>
    <comment ref="C106" authorId="1" shapeId="0" xr:uid="{AF2C0762-94BB-4538-BA79-A503A54ADA2B}">
      <text>
        <r>
          <rPr>
            <b/>
            <sz val="9"/>
            <color indexed="81"/>
            <rFont val="Segoe UI"/>
            <family val="2"/>
          </rPr>
          <t>Prevost Martina:</t>
        </r>
        <r>
          <rPr>
            <sz val="9"/>
            <color indexed="81"/>
            <rFont val="Segoe UI"/>
            <family val="2"/>
          </rPr>
          <t xml:space="preserve">
alle 2 von 3 Jahren</t>
        </r>
      </text>
    </comment>
    <comment ref="D106" authorId="0" shapeId="0" xr:uid="{78A58A61-530D-4074-8791-0D0AAF3523EC}">
      <text>
        <r>
          <rPr>
            <b/>
            <sz val="8"/>
            <color indexed="81"/>
            <rFont val="Tahoma"/>
            <family val="2"/>
          </rPr>
          <t>FAW:</t>
        </r>
        <r>
          <rPr>
            <sz val="8"/>
            <color indexed="81"/>
            <rFont val="Tahoma"/>
            <family val="2"/>
          </rPr>
          <t xml:space="preserve">
Alle drei Jahre</t>
        </r>
      </text>
    </comment>
    <comment ref="C107" authorId="1" shapeId="0" xr:uid="{B62719E4-29AA-4190-89A2-A26C0702E669}">
      <text>
        <r>
          <rPr>
            <b/>
            <sz val="9"/>
            <color indexed="81"/>
            <rFont val="Segoe UI"/>
            <family val="2"/>
          </rPr>
          <t>Prevost Martina:</t>
        </r>
        <r>
          <rPr>
            <sz val="9"/>
            <color indexed="81"/>
            <rFont val="Segoe UI"/>
            <family val="2"/>
          </rPr>
          <t xml:space="preserve">
alle 2 von 3 Jahren
20 t Frischsubstanz -&gt; 27 m3 -&gt; 2 m3 pro Fahrt (3 m3 nicht möglich, da zu schwer) &gt;14 Fahrten
(Mistdichte frisch: Ø 750 kg/m3)</t>
        </r>
      </text>
    </comment>
    <comment ref="D107" authorId="4" shapeId="0" xr:uid="{2A3419CE-303E-4898-A215-4E672794C598}">
      <text>
        <r>
          <rPr>
            <b/>
            <sz val="9"/>
            <color indexed="81"/>
            <rFont val="Segoe UI"/>
            <family val="2"/>
          </rPr>
          <t>Louw-Prevost Martina AGROSCOPE:</t>
        </r>
        <r>
          <rPr>
            <sz val="9"/>
            <color indexed="81"/>
            <rFont val="Segoe UI"/>
            <family val="2"/>
          </rPr>
          <t xml:space="preserve">
gleich wie bei Apfel bio &gt; alle 3 Jahre 
25 t TS/ha = 50 t Frischsubstanz -&gt; 100 m3 -&gt; 33 Fahrten
(Kompostdichte feucht: Ø 500 kg/m3)</t>
        </r>
      </text>
    </comment>
    <comment ref="E111" authorId="1" shapeId="0" xr:uid="{147CF227-1CD2-4FAD-A22A-E37B20891687}">
      <text>
        <r>
          <rPr>
            <b/>
            <sz val="9"/>
            <color indexed="81"/>
            <rFont val="Segoe UI"/>
            <family val="2"/>
          </rPr>
          <t>Prevost Martina:</t>
        </r>
        <r>
          <rPr>
            <sz val="9"/>
            <color indexed="81"/>
            <rFont val="Segoe UI"/>
            <family val="2"/>
          </rPr>
          <t xml:space="preserve">
Preise Agroline 2023 (2. Preisstufe)</t>
        </r>
      </text>
    </comment>
    <comment ref="B112" authorId="1" shapeId="0" xr:uid="{969A5AF8-BDD4-4475-9B2B-8B9A1AB39B6A}">
      <text>
        <r>
          <rPr>
            <b/>
            <sz val="9"/>
            <color indexed="81"/>
            <rFont val="Segoe UI"/>
            <family val="2"/>
          </rPr>
          <t>Prevost Martina:</t>
        </r>
        <r>
          <rPr>
            <sz val="9"/>
            <color indexed="81"/>
            <rFont val="Segoe UI"/>
            <family val="2"/>
          </rPr>
          <t xml:space="preserve">
Oxykupfer 35</t>
        </r>
      </text>
    </comment>
    <comment ref="B121" authorId="1" shapeId="0" xr:uid="{0A8EA04A-7CE8-44DF-88AC-351B34F4A674}">
      <text>
        <r>
          <rPr>
            <b/>
            <sz val="9"/>
            <color indexed="81"/>
            <rFont val="Segoe UI"/>
            <family val="2"/>
          </rPr>
          <t>Prevost Martina:</t>
        </r>
        <r>
          <rPr>
            <sz val="9"/>
            <color indexed="81"/>
            <rFont val="Segoe UI"/>
            <family val="2"/>
          </rPr>
          <t xml:space="preserve">
Nur mit Rückenspritze behandelt, da Bäume noch zu klein</t>
        </r>
      </text>
    </comment>
    <comment ref="A122" authorId="4" shapeId="0" xr:uid="{67E5973D-1E4D-4183-A5BA-D5D815C78B3E}">
      <text>
        <r>
          <rPr>
            <b/>
            <sz val="9"/>
            <color indexed="81"/>
            <rFont val="Segoe UI"/>
            <family val="2"/>
          </rPr>
          <t>Louw-Prevost Martina AGROSCOPE:</t>
        </r>
        <r>
          <rPr>
            <sz val="9"/>
            <color indexed="81"/>
            <rFont val="Segoe UI"/>
            <family val="2"/>
          </rPr>
          <t xml:space="preserve">
Anzahl Fahrten für mechanische Unkrautbekämpfung</t>
        </r>
      </text>
    </comment>
    <comment ref="A123" authorId="4" shapeId="0" xr:uid="{0397D5EE-3871-425B-B4E1-25A2F449ABEB}">
      <text>
        <r>
          <rPr>
            <b/>
            <sz val="9"/>
            <color indexed="81"/>
            <rFont val="Segoe UI"/>
            <family val="2"/>
          </rPr>
          <t>Louw-Prevost Martina AGROSCOPE:</t>
        </r>
        <r>
          <rPr>
            <sz val="9"/>
            <color indexed="81"/>
            <rFont val="Segoe UI"/>
            <family val="2"/>
          </rPr>
          <t xml:space="preserve">
Anzahl Fahrten für mechanische Unkrautbekämpfung</t>
        </r>
      </text>
    </comment>
    <comment ref="E125" authorId="1" shapeId="0" xr:uid="{DF8115E2-5C0E-4AA6-9791-8AD3D90D6807}">
      <text>
        <r>
          <rPr>
            <b/>
            <sz val="9"/>
            <color indexed="81"/>
            <rFont val="Segoe UI"/>
            <family val="2"/>
          </rPr>
          <t>Prevost Martina:</t>
        </r>
        <r>
          <rPr>
            <sz val="9"/>
            <color indexed="81"/>
            <rFont val="Segoe UI"/>
            <family val="2"/>
          </rPr>
          <t xml:space="preserve">
Preise Agroline 2023 (2. Preisstufe)</t>
        </r>
      </text>
    </comment>
    <comment ref="B126" authorId="1" shapeId="0" xr:uid="{FC3EFFAA-E8F7-4892-9BDA-235142487154}">
      <text>
        <r>
          <rPr>
            <b/>
            <sz val="9"/>
            <color indexed="81"/>
            <rFont val="Segoe UI"/>
            <family val="2"/>
          </rPr>
          <t>Prevost Martina:</t>
        </r>
        <r>
          <rPr>
            <sz val="9"/>
            <color indexed="81"/>
            <rFont val="Segoe UI"/>
            <family val="2"/>
          </rPr>
          <t xml:space="preserve">
Oxykupfer 35</t>
        </r>
      </text>
    </comment>
    <comment ref="A136" authorId="4" shapeId="0" xr:uid="{B6E58740-483F-4D70-BE6B-412FE74C02D1}">
      <text>
        <r>
          <rPr>
            <b/>
            <sz val="9"/>
            <color indexed="81"/>
            <rFont val="Segoe UI"/>
            <family val="2"/>
          </rPr>
          <t>Louw-Prevost Martina AGROSCOPE:</t>
        </r>
        <r>
          <rPr>
            <sz val="9"/>
            <color indexed="81"/>
            <rFont val="Segoe UI"/>
            <family val="2"/>
          </rPr>
          <t xml:space="preserve">
Anzahl Fahrten für mechanische Unkrautbekämpfung</t>
        </r>
      </text>
    </comment>
    <comment ref="A137" authorId="4" shapeId="0" xr:uid="{97F780AC-EC9D-4E81-A1E9-4250AA432D2B}">
      <text>
        <r>
          <rPr>
            <b/>
            <sz val="9"/>
            <color indexed="81"/>
            <rFont val="Segoe UI"/>
            <family val="2"/>
          </rPr>
          <t>Louw-Prevost Martina AGROSCOPE:</t>
        </r>
        <r>
          <rPr>
            <sz val="9"/>
            <color indexed="81"/>
            <rFont val="Segoe UI"/>
            <family val="2"/>
          </rPr>
          <t xml:space="preserve">
Anzahl Fahrten für mechanische Unkrautbekämpfung</t>
        </r>
      </text>
    </comment>
    <comment ref="E139" authorId="1" shapeId="0" xr:uid="{56F996B5-A327-4442-9D9A-36C6A09A4EEE}">
      <text>
        <r>
          <rPr>
            <b/>
            <sz val="9"/>
            <color indexed="81"/>
            <rFont val="Segoe UI"/>
            <family val="2"/>
          </rPr>
          <t>Prevost Martina:</t>
        </r>
        <r>
          <rPr>
            <sz val="9"/>
            <color indexed="81"/>
            <rFont val="Segoe UI"/>
            <family val="2"/>
          </rPr>
          <t xml:space="preserve">
Preise Agroline 2023 (2. Preisstufe)</t>
        </r>
      </text>
    </comment>
    <comment ref="A146" authorId="4" shapeId="0" xr:uid="{3271FDA9-25C3-46B7-A279-689ED905D6AE}">
      <text>
        <r>
          <rPr>
            <b/>
            <sz val="9"/>
            <color indexed="81"/>
            <rFont val="Segoe UI"/>
            <family val="2"/>
          </rPr>
          <t>Louw-Prevost Martina AGROSCOPE:</t>
        </r>
        <r>
          <rPr>
            <sz val="9"/>
            <color indexed="81"/>
            <rFont val="Segoe UI"/>
            <family val="2"/>
          </rPr>
          <t xml:space="preserve">
Anzahl Fahrten für mechanische Unkrautbekämpfung</t>
        </r>
      </text>
    </comment>
    <comment ref="A147" authorId="4" shapeId="0" xr:uid="{47559C07-8FEC-485E-BE5E-3F8AE54960F0}">
      <text>
        <r>
          <rPr>
            <b/>
            <sz val="9"/>
            <color indexed="81"/>
            <rFont val="Segoe UI"/>
            <family val="2"/>
          </rPr>
          <t>Louw-Prevost Martina AGROSCOPE:</t>
        </r>
        <r>
          <rPr>
            <sz val="9"/>
            <color indexed="81"/>
            <rFont val="Segoe UI"/>
            <family val="2"/>
          </rPr>
          <t xml:space="preserve">
Anzahl Fahrten für mechanische Unkrautbekämpfung</t>
        </r>
      </text>
    </comment>
    <comment ref="C160" authorId="1" shapeId="0" xr:uid="{FEA4FCEE-6640-471C-BC88-DC796C7581AC}">
      <text>
        <r>
          <rPr>
            <b/>
            <sz val="9"/>
            <color indexed="81"/>
            <rFont val="Segoe UI"/>
            <family val="2"/>
          </rPr>
          <t>Prevost Martina:</t>
        </r>
        <r>
          <rPr>
            <sz val="9"/>
            <color indexed="81"/>
            <rFont val="Segoe UI"/>
            <family val="2"/>
          </rPr>
          <t xml:space="preserve">
h/ha</t>
        </r>
      </text>
    </comment>
    <comment ref="D160" authorId="1" shapeId="0" xr:uid="{A1F026A9-040B-4EB3-8728-90B3EE6B1497}">
      <text>
        <r>
          <rPr>
            <b/>
            <sz val="9"/>
            <color indexed="81"/>
            <rFont val="Segoe UI"/>
            <family val="2"/>
          </rPr>
          <t>Prevost Martina:</t>
        </r>
        <r>
          <rPr>
            <sz val="9"/>
            <color indexed="81"/>
            <rFont val="Segoe UI"/>
            <family val="2"/>
          </rPr>
          <t xml:space="preserve">
Fr./h</t>
        </r>
      </text>
    </comment>
    <comment ref="I160" authorId="1" shapeId="0" xr:uid="{8335FC08-886D-431E-A309-D175F27AD4F0}">
      <text>
        <r>
          <rPr>
            <b/>
            <sz val="9"/>
            <color indexed="81"/>
            <rFont val="Segoe UI"/>
            <family val="2"/>
          </rPr>
          <t>Prevost Martina:</t>
        </r>
        <r>
          <rPr>
            <sz val="9"/>
            <color indexed="81"/>
            <rFont val="Segoe UI"/>
            <family val="2"/>
          </rPr>
          <t xml:space="preserve">
Fr./h</t>
        </r>
      </text>
    </comment>
    <comment ref="C162" authorId="1" shapeId="0" xr:uid="{6E47A2D6-B442-4FB7-BFA2-FAC624F11324}">
      <text>
        <r>
          <rPr>
            <b/>
            <sz val="9"/>
            <color indexed="81"/>
            <rFont val="Segoe UI"/>
            <family val="2"/>
          </rPr>
          <t>Prevost Martina:</t>
        </r>
        <r>
          <rPr>
            <sz val="9"/>
            <color indexed="81"/>
            <rFont val="Segoe UI"/>
            <family val="2"/>
          </rPr>
          <t xml:space="preserve">
2.6 Fu/h</t>
        </r>
      </text>
    </comment>
    <comment ref="D162" authorId="1" shapeId="0" xr:uid="{870FF462-2BCB-4152-8373-065BC5D56428}">
      <text>
        <r>
          <rPr>
            <b/>
            <sz val="9"/>
            <color indexed="81"/>
            <rFont val="Segoe UI"/>
            <family val="2"/>
          </rPr>
          <t>Prevost Martina:</t>
        </r>
        <r>
          <rPr>
            <sz val="9"/>
            <color indexed="81"/>
            <rFont val="Segoe UI"/>
            <family val="2"/>
          </rPr>
          <t xml:space="preserve">
Fr./Fu</t>
        </r>
      </text>
    </comment>
    <comment ref="H162" authorId="1" shapeId="0" xr:uid="{65DC0F46-6CBA-406E-9442-308CAE490D6F}">
      <text>
        <r>
          <rPr>
            <b/>
            <sz val="9"/>
            <color indexed="81"/>
            <rFont val="Segoe UI"/>
            <family val="2"/>
          </rPr>
          <t>Prevost Martina:</t>
        </r>
        <r>
          <rPr>
            <sz val="9"/>
            <color indexed="81"/>
            <rFont val="Segoe UI"/>
            <family val="2"/>
          </rPr>
          <t xml:space="preserve">
Fr./Fu</t>
        </r>
      </text>
    </comment>
    <comment ref="I162" authorId="1" shapeId="0" xr:uid="{93703066-C41C-42AF-9FB9-8963209E9563}">
      <text>
        <r>
          <rPr>
            <b/>
            <sz val="9"/>
            <color indexed="81"/>
            <rFont val="Segoe UI"/>
            <family val="2"/>
          </rPr>
          <t>Prevost Martina:</t>
        </r>
        <r>
          <rPr>
            <sz val="9"/>
            <color indexed="81"/>
            <rFont val="Segoe UI"/>
            <family val="2"/>
          </rPr>
          <t xml:space="preserve">
Fr./Fu</t>
        </r>
      </text>
    </comment>
    <comment ref="F182" authorId="1" shapeId="0" xr:uid="{57C9E7EC-4CFE-4743-BCD6-0CAC5E93F8AC}">
      <text>
        <r>
          <rPr>
            <b/>
            <sz val="9"/>
            <color indexed="81"/>
            <rFont val="Segoe UI"/>
            <family val="2"/>
          </rPr>
          <t>Prevost Martina:</t>
        </r>
        <r>
          <rPr>
            <sz val="9"/>
            <color indexed="81"/>
            <rFont val="Segoe UI"/>
            <family val="2"/>
          </rPr>
          <t xml:space="preserve">
Bäume noch nicht abgedeckt</t>
        </r>
      </text>
    </comment>
    <comment ref="F183" authorId="1" shapeId="0" xr:uid="{925F3F46-D97D-4A21-80ED-54501804065C}">
      <text>
        <r>
          <rPr>
            <b/>
            <sz val="9"/>
            <color indexed="81"/>
            <rFont val="Segoe UI"/>
            <family val="2"/>
          </rPr>
          <t>Prevost Martina:</t>
        </r>
        <r>
          <rPr>
            <sz val="9"/>
            <color indexed="81"/>
            <rFont val="Segoe UI"/>
            <family val="2"/>
          </rPr>
          <t xml:space="preserve">
Bewässerung von Anfang April bis Ende Juli da Kultur abgedeckt (ca. 18 Wochen)</t>
        </r>
      </text>
    </comment>
    <comment ref="E184" authorId="1" shapeId="0" xr:uid="{27258170-F1FC-42B7-9ABD-D5F3F219B818}">
      <text>
        <r>
          <rPr>
            <b/>
            <sz val="9"/>
            <color indexed="81"/>
            <rFont val="Segoe UI"/>
            <family val="2"/>
          </rPr>
          <t>Prevost Martina:</t>
        </r>
        <r>
          <rPr>
            <sz val="9"/>
            <color indexed="81"/>
            <rFont val="Segoe UI"/>
            <family val="2"/>
          </rPr>
          <t xml:space="preserve">
Braucht keinen Strom, weil meistens aus dem Wassernetz &amp; Steuerung via Magnetventile kann mit Batterien betrieben werden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 Mouron</author>
    <author>Prevost Martina</author>
    <author>FAW</author>
  </authors>
  <commentList>
    <comment ref="F13" authorId="0" shapeId="0" xr:uid="{00000000-0006-0000-0200-000001000000}">
      <text>
        <r>
          <rPr>
            <sz val="8"/>
            <color indexed="81"/>
            <rFont val="Tahoma"/>
            <family val="2"/>
          </rPr>
          <t xml:space="preserve">
Traktor mit Normalspur möglich</t>
        </r>
      </text>
    </comment>
    <comment ref="C55" authorId="0" shapeId="0" xr:uid="{00000000-0006-0000-0200-000002000000}">
      <text>
        <r>
          <rPr>
            <sz val="8"/>
            <color indexed="81"/>
            <rFont val="Tahoma"/>
            <family val="2"/>
          </rPr>
          <t xml:space="preserve">
Faustregel: 10 % der Arbeit</t>
        </r>
      </text>
    </comment>
    <comment ref="E62" authorId="1" shapeId="0" xr:uid="{B18A6D86-84BA-4D99-AC8D-E0D890CE0081}">
      <text>
        <r>
          <rPr>
            <b/>
            <sz val="9"/>
            <color indexed="81"/>
            <rFont val="Segoe UI"/>
            <family val="2"/>
          </rPr>
          <t>Prevost Martina:</t>
        </r>
        <r>
          <rPr>
            <sz val="9"/>
            <color indexed="81"/>
            <rFont val="Segoe UI"/>
            <family val="2"/>
          </rPr>
          <t xml:space="preserve">
Mwst-Satz 8.10 %</t>
        </r>
      </text>
    </comment>
    <comment ref="B70" authorId="1" shapeId="0" xr:uid="{CACB5790-6322-4030-A7CB-31FC335FBBA1}">
      <text>
        <r>
          <rPr>
            <b/>
            <sz val="9"/>
            <color indexed="81"/>
            <rFont val="Segoe UI"/>
            <family val="2"/>
          </rPr>
          <t>Prevost Martina:</t>
        </r>
        <r>
          <rPr>
            <sz val="9"/>
            <color indexed="81"/>
            <rFont val="Segoe UI"/>
            <family val="2"/>
          </rPr>
          <t xml:space="preserve">
für Betonpfähle, mit Chauffeur</t>
        </r>
      </text>
    </comment>
    <comment ref="E70" authorId="1" shapeId="0" xr:uid="{254C74CD-EBD8-4B28-8DF1-34F07006453B}">
      <text>
        <r>
          <rPr>
            <b/>
            <sz val="9"/>
            <color indexed="81"/>
            <rFont val="Segoe UI"/>
            <family val="2"/>
          </rPr>
          <t>Prevost Martina:</t>
        </r>
        <r>
          <rPr>
            <sz val="9"/>
            <color indexed="81"/>
            <rFont val="Segoe UI"/>
            <family val="2"/>
          </rPr>
          <t xml:space="preserve">
500.-  Kosten für Anreise</t>
        </r>
      </text>
    </comment>
    <comment ref="A82" authorId="2" shapeId="0" xr:uid="{10D85C5A-9FB3-4476-95FE-33B291F36627}">
      <text>
        <r>
          <rPr>
            <sz val="8"/>
            <color indexed="81"/>
            <rFont val="Tahoma"/>
            <family val="2"/>
          </rPr>
          <t>Exklusiv: Pumpe
Kosten der Bewässerungsanlage innerhalb der Parzelle (ohne den Weg der Anlage bis zur Parzelle da sehr individuell)</t>
        </r>
      </text>
    </comment>
    <comment ref="F82" authorId="1" shapeId="0" xr:uid="{A12C08B6-9FA8-4291-862E-2AC5A71FE113}">
      <text>
        <r>
          <rPr>
            <b/>
            <sz val="9"/>
            <color indexed="81"/>
            <rFont val="Segoe UI"/>
            <family val="2"/>
          </rPr>
          <t>Prevost Martina:</t>
        </r>
        <r>
          <rPr>
            <sz val="9"/>
            <color indexed="81"/>
            <rFont val="Segoe UI"/>
            <family val="2"/>
          </rPr>
          <t xml:space="preserve">
Mwst-Satz 8.10 %</t>
        </r>
      </text>
    </comment>
    <comment ref="D88" authorId="2" shapeId="0" xr:uid="{CB01E1F0-BA42-42F8-9D28-B5B6080F2CF6}">
      <text>
        <r>
          <rPr>
            <sz val="8"/>
            <color indexed="81"/>
            <rFont val="Tahoma"/>
            <family val="2"/>
          </rPr>
          <t xml:space="preserve">Bei Tropfschlauchanlage ca. 80 h </t>
        </r>
      </text>
    </comment>
    <comment ref="C110" authorId="1" shapeId="0" xr:uid="{DF1A0014-4E24-4231-8EB7-A8AE3604C6B5}">
      <text>
        <r>
          <rPr>
            <b/>
            <sz val="9"/>
            <color indexed="81"/>
            <rFont val="Segoe UI"/>
            <family val="2"/>
          </rPr>
          <t>Prevost Martina:</t>
        </r>
        <r>
          <rPr>
            <sz val="9"/>
            <color indexed="81"/>
            <rFont val="Segoe UI"/>
            <family val="2"/>
          </rPr>
          <t xml:space="preserve">
1 x Personeneingang
1 x Maschineneingang</t>
        </r>
      </text>
    </comment>
    <comment ref="D114" authorId="1" shapeId="0" xr:uid="{E4881618-D96B-4837-BFCF-6BABB4406DD6}">
      <text>
        <r>
          <rPr>
            <b/>
            <sz val="9"/>
            <color indexed="81"/>
            <rFont val="Segoe UI"/>
            <family val="2"/>
          </rPr>
          <t>Prevost Martina:</t>
        </r>
        <r>
          <rPr>
            <sz val="9"/>
            <color indexed="81"/>
            <rFont val="Segoe UI"/>
            <family val="2"/>
          </rPr>
          <t xml:space="preserve">
während 1/3 der Arbeitszeit im Einsatz</t>
        </r>
      </text>
    </comment>
    <comment ref="D116" authorId="1" shapeId="0" xr:uid="{9736261F-FCAF-4184-A1B7-D689AD8A7AC8}">
      <text>
        <r>
          <rPr>
            <b/>
            <sz val="9"/>
            <color indexed="81"/>
            <rFont val="Segoe UI"/>
            <family val="2"/>
          </rPr>
          <t>Prevost Martina:</t>
        </r>
        <r>
          <rPr>
            <sz val="9"/>
            <color indexed="81"/>
            <rFont val="Segoe UI"/>
            <family val="2"/>
          </rPr>
          <t xml:space="preserve">
während 1/3 der Arbeitszeit im Einsatz</t>
        </r>
      </text>
    </comment>
    <comment ref="D138" authorId="1" shapeId="0" xr:uid="{D361F4B4-C4AD-4A22-9794-9053BE4B2927}">
      <text>
        <r>
          <rPr>
            <b/>
            <sz val="9"/>
            <color indexed="81"/>
            <rFont val="Segoe UI"/>
            <family val="2"/>
          </rPr>
          <t>Prevost Martina:</t>
        </r>
        <r>
          <rPr>
            <sz val="9"/>
            <color indexed="81"/>
            <rFont val="Segoe UI"/>
            <family val="2"/>
          </rPr>
          <t xml:space="preserve">
falls Hagenetz vorhanden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FAW</author>
    <author>Prevost Martina</author>
    <author>P. Mouron</author>
  </authors>
  <commentList>
    <comment ref="F5" authorId="0" shapeId="0" xr:uid="{00000000-0006-0000-0300-000001000000}">
      <text>
        <r>
          <rPr>
            <sz val="9"/>
            <color indexed="81"/>
            <rFont val="Tahoma"/>
            <family val="2"/>
          </rPr>
          <t>P. Mouron: Diese Seite ist schreibgeschützt. Der Schutz kann aufgehoben werden mit dem Kennwort "Arbokost"</t>
        </r>
      </text>
    </comment>
    <comment ref="T5" authorId="0" shapeId="0" xr:uid="{00000000-0006-0000-0300-000002000000}">
      <text>
        <r>
          <rPr>
            <sz val="9"/>
            <color indexed="81"/>
            <rFont val="Tahoma"/>
            <family val="2"/>
          </rPr>
          <t>P. Mouron: Diese Seite ist schreibgeschützt. Der Schutz kann aufgehoben werden mit dem Kennwort "Arbokost"</t>
        </r>
      </text>
    </comment>
    <comment ref="B8" authorId="1" shapeId="0" xr:uid="{E6C0A9BE-CD41-481F-A063-95F8AC02D17B}">
      <text>
        <r>
          <rPr>
            <b/>
            <sz val="9"/>
            <color indexed="81"/>
            <rFont val="Segoe UI"/>
            <family val="2"/>
          </rPr>
          <t>Prevost Martina:</t>
        </r>
        <r>
          <rPr>
            <sz val="9"/>
            <color indexed="81"/>
            <rFont val="Segoe UI"/>
            <family val="2"/>
          </rPr>
          <t xml:space="preserve">
späte Sorten 24+ mm</t>
        </r>
      </text>
    </comment>
    <comment ref="I8" authorId="1" shapeId="0" xr:uid="{A28C17E1-0800-4EA2-8B04-05AA041B0872}">
      <text>
        <r>
          <rPr>
            <b/>
            <sz val="9"/>
            <color indexed="81"/>
            <rFont val="Segoe UI"/>
            <family val="2"/>
          </rPr>
          <t>Prevost Martina:</t>
        </r>
        <r>
          <rPr>
            <sz val="9"/>
            <color indexed="81"/>
            <rFont val="Segoe UI"/>
            <family val="2"/>
          </rPr>
          <t xml:space="preserve">
späte Sorten 24+ mm</t>
        </r>
      </text>
    </comment>
    <comment ref="P8" authorId="1" shapeId="0" xr:uid="{6BAC5ADB-ABB0-4145-BB72-F34C678F8AF4}">
      <text>
        <r>
          <rPr>
            <b/>
            <sz val="9"/>
            <color indexed="81"/>
            <rFont val="Segoe UI"/>
            <family val="2"/>
          </rPr>
          <t>Prevost Martina:</t>
        </r>
        <r>
          <rPr>
            <sz val="9"/>
            <color indexed="81"/>
            <rFont val="Segoe UI"/>
            <family val="2"/>
          </rPr>
          <t xml:space="preserve">
späte Sorten 24+ mm</t>
        </r>
      </text>
    </comment>
    <comment ref="W8" authorId="1" shapeId="0" xr:uid="{934B80B5-5F95-4C59-B6C2-3980533C189F}">
      <text>
        <r>
          <rPr>
            <b/>
            <sz val="9"/>
            <color indexed="81"/>
            <rFont val="Segoe UI"/>
            <family val="2"/>
          </rPr>
          <t>Prevost Martina:</t>
        </r>
        <r>
          <rPr>
            <sz val="9"/>
            <color indexed="81"/>
            <rFont val="Segoe UI"/>
            <family val="2"/>
          </rPr>
          <t xml:space="preserve">
späte Sorten 24+ mm</t>
        </r>
      </text>
    </comment>
    <comment ref="AD8" authorId="1" shapeId="0" xr:uid="{43F22CFA-B735-4259-82A5-2903D2FCBF41}">
      <text>
        <r>
          <rPr>
            <b/>
            <sz val="9"/>
            <color indexed="81"/>
            <rFont val="Segoe UI"/>
            <family val="2"/>
          </rPr>
          <t>Prevost Martina:</t>
        </r>
        <r>
          <rPr>
            <sz val="9"/>
            <color indexed="81"/>
            <rFont val="Segoe UI"/>
            <family val="2"/>
          </rPr>
          <t xml:space="preserve">
späte Sorten 24+ mm</t>
        </r>
      </text>
    </comment>
    <comment ref="AK8" authorId="1" shapeId="0" xr:uid="{9A5DE3B6-0CF8-49E8-BDC8-D624AE9808EF}">
      <text>
        <r>
          <rPr>
            <b/>
            <sz val="9"/>
            <color indexed="81"/>
            <rFont val="Segoe UI"/>
            <family val="2"/>
          </rPr>
          <t>Prevost Martina:</t>
        </r>
        <r>
          <rPr>
            <sz val="9"/>
            <color indexed="81"/>
            <rFont val="Segoe UI"/>
            <family val="2"/>
          </rPr>
          <t xml:space="preserve">
späte Sorten 24+ mm</t>
        </r>
      </text>
    </comment>
    <comment ref="AR8" authorId="1" shapeId="0" xr:uid="{6A0CE607-24F7-4FC2-841C-4E71EE521AD6}">
      <text>
        <r>
          <rPr>
            <b/>
            <sz val="9"/>
            <color indexed="81"/>
            <rFont val="Segoe UI"/>
            <family val="2"/>
          </rPr>
          <t>Prevost Martina:</t>
        </r>
        <r>
          <rPr>
            <sz val="9"/>
            <color indexed="81"/>
            <rFont val="Segoe UI"/>
            <family val="2"/>
          </rPr>
          <t xml:space="preserve">
späte Sorten 24+ mm</t>
        </r>
      </text>
    </comment>
    <comment ref="AY8" authorId="1" shapeId="0" xr:uid="{AD13BA07-75D0-42F4-81CF-6C53A25A1254}">
      <text>
        <r>
          <rPr>
            <b/>
            <sz val="9"/>
            <color indexed="81"/>
            <rFont val="Segoe UI"/>
            <family val="2"/>
          </rPr>
          <t>Prevost Martina:</t>
        </r>
        <r>
          <rPr>
            <sz val="9"/>
            <color indexed="81"/>
            <rFont val="Segoe UI"/>
            <family val="2"/>
          </rPr>
          <t xml:space="preserve">
späte Sorten 24+ mm</t>
        </r>
      </text>
    </comment>
    <comment ref="BF8" authorId="1" shapeId="0" xr:uid="{AA2D48AD-37C9-49D7-8BA4-B48ADE9B90F9}">
      <text>
        <r>
          <rPr>
            <b/>
            <sz val="9"/>
            <color indexed="81"/>
            <rFont val="Segoe UI"/>
            <family val="2"/>
          </rPr>
          <t>Prevost Martina:</t>
        </r>
        <r>
          <rPr>
            <sz val="9"/>
            <color indexed="81"/>
            <rFont val="Segoe UI"/>
            <family val="2"/>
          </rPr>
          <t xml:space="preserve">
späte Sorten 24+ mm</t>
        </r>
      </text>
    </comment>
    <comment ref="BM8" authorId="1" shapeId="0" xr:uid="{DEE75ED3-1F11-4D04-9C1A-190E41598FFD}">
      <text>
        <r>
          <rPr>
            <b/>
            <sz val="9"/>
            <color indexed="81"/>
            <rFont val="Segoe UI"/>
            <family val="2"/>
          </rPr>
          <t>Prevost Martina:</t>
        </r>
        <r>
          <rPr>
            <sz val="9"/>
            <color indexed="81"/>
            <rFont val="Segoe UI"/>
            <family val="2"/>
          </rPr>
          <t xml:space="preserve">
späte Sorten 24+ mm</t>
        </r>
      </text>
    </comment>
    <comment ref="BT8" authorId="1" shapeId="0" xr:uid="{F4BBE0E6-C6C2-4F40-AB4A-72487FA045FC}">
      <text>
        <r>
          <rPr>
            <b/>
            <sz val="9"/>
            <color indexed="81"/>
            <rFont val="Segoe UI"/>
            <family val="2"/>
          </rPr>
          <t>Prevost Martina:</t>
        </r>
        <r>
          <rPr>
            <sz val="9"/>
            <color indexed="81"/>
            <rFont val="Segoe UI"/>
            <family val="2"/>
          </rPr>
          <t xml:space="preserve">
späte Sorten 24+ mm</t>
        </r>
      </text>
    </comment>
    <comment ref="CA8" authorId="1" shapeId="0" xr:uid="{24A97069-E0AE-4557-A6C7-966C29E11775}">
      <text>
        <r>
          <rPr>
            <b/>
            <sz val="9"/>
            <color indexed="81"/>
            <rFont val="Segoe UI"/>
            <family val="2"/>
          </rPr>
          <t>Prevost Martina:</t>
        </r>
        <r>
          <rPr>
            <sz val="9"/>
            <color indexed="81"/>
            <rFont val="Segoe UI"/>
            <family val="2"/>
          </rPr>
          <t xml:space="preserve">
späte Sorten 24+ mm</t>
        </r>
      </text>
    </comment>
    <comment ref="CH8" authorId="1" shapeId="0" xr:uid="{A67EB888-791A-4D5C-8792-8D829737EF62}">
      <text>
        <r>
          <rPr>
            <b/>
            <sz val="9"/>
            <color indexed="81"/>
            <rFont val="Segoe UI"/>
            <family val="2"/>
          </rPr>
          <t>Prevost Martina:</t>
        </r>
        <r>
          <rPr>
            <sz val="9"/>
            <color indexed="81"/>
            <rFont val="Segoe UI"/>
            <family val="2"/>
          </rPr>
          <t xml:space="preserve">
späte Sorten 24+ mm</t>
        </r>
      </text>
    </comment>
    <comment ref="CO8" authorId="1" shapeId="0" xr:uid="{6EB8E04E-9BA3-49D0-A8E2-6363FED1F264}">
      <text>
        <r>
          <rPr>
            <b/>
            <sz val="9"/>
            <color indexed="81"/>
            <rFont val="Segoe UI"/>
            <family val="2"/>
          </rPr>
          <t>Prevost Martina:</t>
        </r>
        <r>
          <rPr>
            <sz val="9"/>
            <color indexed="81"/>
            <rFont val="Segoe UI"/>
            <family val="2"/>
          </rPr>
          <t xml:space="preserve">
späte Sorten 24+ mm</t>
        </r>
      </text>
    </comment>
    <comment ref="CV8" authorId="1" shapeId="0" xr:uid="{9E505131-3F19-4ED1-AC57-5BF3F3AE6EED}">
      <text>
        <r>
          <rPr>
            <b/>
            <sz val="9"/>
            <color indexed="81"/>
            <rFont val="Segoe UI"/>
            <family val="2"/>
          </rPr>
          <t>Prevost Martina:</t>
        </r>
        <r>
          <rPr>
            <sz val="9"/>
            <color indexed="81"/>
            <rFont val="Segoe UI"/>
            <family val="2"/>
          </rPr>
          <t xml:space="preserve">
späte Sorten 24+ mm</t>
        </r>
      </text>
    </comment>
    <comment ref="DC8" authorId="1" shapeId="0" xr:uid="{CAC66BD1-1B95-4EBC-A3DE-E6BFDB7971C8}">
      <text>
        <r>
          <rPr>
            <b/>
            <sz val="9"/>
            <color indexed="81"/>
            <rFont val="Segoe UI"/>
            <family val="2"/>
          </rPr>
          <t>Prevost Martina:</t>
        </r>
        <r>
          <rPr>
            <sz val="9"/>
            <color indexed="81"/>
            <rFont val="Segoe UI"/>
            <family val="2"/>
          </rPr>
          <t xml:space="preserve">
späte Sorten 24+ mm</t>
        </r>
      </text>
    </comment>
    <comment ref="D15" authorId="1" shapeId="0" xr:uid="{675B332D-2CA5-4106-92C6-B0115F8A35DA}">
      <text>
        <r>
          <rPr>
            <b/>
            <sz val="9"/>
            <color indexed="81"/>
            <rFont val="Segoe UI"/>
            <family val="2"/>
          </rPr>
          <t>Prevost Martina:</t>
        </r>
        <r>
          <rPr>
            <sz val="9"/>
            <color indexed="81"/>
            <rFont val="Segoe UI"/>
            <family val="2"/>
          </rPr>
          <t xml:space="preserve">
Total pro ha und Jahr</t>
        </r>
      </text>
    </comment>
    <comment ref="K15" authorId="1" shapeId="0" xr:uid="{1FCB8824-1DA3-4811-A102-AB8192C7D3D9}">
      <text>
        <r>
          <rPr>
            <b/>
            <sz val="9"/>
            <color indexed="81"/>
            <rFont val="Segoe UI"/>
            <family val="2"/>
          </rPr>
          <t>Prevost Martina:</t>
        </r>
        <r>
          <rPr>
            <sz val="9"/>
            <color indexed="81"/>
            <rFont val="Segoe UI"/>
            <family val="2"/>
          </rPr>
          <t xml:space="preserve">
Total pro ha und Jahr</t>
        </r>
      </text>
    </comment>
    <comment ref="R15" authorId="1" shapeId="0" xr:uid="{FDF013AD-EA47-4DEC-BCE9-E2A77228CD3B}">
      <text>
        <r>
          <rPr>
            <b/>
            <sz val="9"/>
            <color indexed="81"/>
            <rFont val="Segoe UI"/>
            <family val="2"/>
          </rPr>
          <t>Prevost Martina:</t>
        </r>
        <r>
          <rPr>
            <sz val="9"/>
            <color indexed="81"/>
            <rFont val="Segoe UI"/>
            <family val="2"/>
          </rPr>
          <t xml:space="preserve">
Total pro ha und Jahr</t>
        </r>
      </text>
    </comment>
    <comment ref="Y15" authorId="1" shapeId="0" xr:uid="{C022AEA4-F09E-4CBE-9535-8C4A72BC75FF}">
      <text>
        <r>
          <rPr>
            <b/>
            <sz val="9"/>
            <color indexed="81"/>
            <rFont val="Segoe UI"/>
            <family val="2"/>
          </rPr>
          <t>Prevost Martina:</t>
        </r>
        <r>
          <rPr>
            <sz val="9"/>
            <color indexed="81"/>
            <rFont val="Segoe UI"/>
            <family val="2"/>
          </rPr>
          <t xml:space="preserve">
Total pro ha und Jahr</t>
        </r>
      </text>
    </comment>
    <comment ref="AF15" authorId="1" shapeId="0" xr:uid="{ED907919-AE4B-45FC-A2FC-30F657AACA70}">
      <text>
        <r>
          <rPr>
            <b/>
            <sz val="9"/>
            <color indexed="81"/>
            <rFont val="Segoe UI"/>
            <family val="2"/>
          </rPr>
          <t>Prevost Martina:</t>
        </r>
        <r>
          <rPr>
            <sz val="9"/>
            <color indexed="81"/>
            <rFont val="Segoe UI"/>
            <family val="2"/>
          </rPr>
          <t xml:space="preserve">
Total pro ha und Jahr</t>
        </r>
      </text>
    </comment>
    <comment ref="D16" authorId="1" shapeId="0" xr:uid="{7A25E7D8-6B1C-4ADA-B3D5-A3433084BF55}">
      <text>
        <r>
          <rPr>
            <b/>
            <sz val="9"/>
            <color indexed="81"/>
            <rFont val="Segoe UI"/>
            <family val="2"/>
          </rPr>
          <t>Prevost Martina:</t>
        </r>
        <r>
          <rPr>
            <sz val="9"/>
            <color indexed="81"/>
            <rFont val="Segoe UI"/>
            <family val="2"/>
          </rPr>
          <t xml:space="preserve">
Total pro ha und Jahr</t>
        </r>
      </text>
    </comment>
    <comment ref="K16" authorId="1" shapeId="0" xr:uid="{AB8509C0-D22B-4CD1-98AF-288BC5EAE417}">
      <text>
        <r>
          <rPr>
            <b/>
            <sz val="9"/>
            <color indexed="81"/>
            <rFont val="Segoe UI"/>
            <family val="2"/>
          </rPr>
          <t>Prevost Martina:</t>
        </r>
        <r>
          <rPr>
            <sz val="9"/>
            <color indexed="81"/>
            <rFont val="Segoe UI"/>
            <family val="2"/>
          </rPr>
          <t xml:space="preserve">
Total pro ha und Jahr</t>
        </r>
      </text>
    </comment>
    <comment ref="R16" authorId="1" shapeId="0" xr:uid="{76055C34-A109-4A8D-8179-022DDC9F0E08}">
      <text>
        <r>
          <rPr>
            <b/>
            <sz val="9"/>
            <color indexed="81"/>
            <rFont val="Segoe UI"/>
            <family val="2"/>
          </rPr>
          <t>Prevost Martina:</t>
        </r>
        <r>
          <rPr>
            <sz val="9"/>
            <color indexed="81"/>
            <rFont val="Segoe UI"/>
            <family val="2"/>
          </rPr>
          <t xml:space="preserve">
Total pro ha und Jahr</t>
        </r>
      </text>
    </comment>
    <comment ref="Y16" authorId="1" shapeId="0" xr:uid="{AAC297CC-23A9-41BB-92DD-45B762459310}">
      <text>
        <r>
          <rPr>
            <b/>
            <sz val="9"/>
            <color indexed="81"/>
            <rFont val="Segoe UI"/>
            <family val="2"/>
          </rPr>
          <t>Prevost Martina:</t>
        </r>
        <r>
          <rPr>
            <sz val="9"/>
            <color indexed="81"/>
            <rFont val="Segoe UI"/>
            <family val="2"/>
          </rPr>
          <t xml:space="preserve">
Total pro ha und Jahr</t>
        </r>
      </text>
    </comment>
    <comment ref="AF16" authorId="1" shapeId="0" xr:uid="{886A6014-BE79-48CD-9B13-5F1B63967181}">
      <text>
        <r>
          <rPr>
            <b/>
            <sz val="9"/>
            <color indexed="81"/>
            <rFont val="Segoe UI"/>
            <family val="2"/>
          </rPr>
          <t>Prevost Martina:</t>
        </r>
        <r>
          <rPr>
            <sz val="9"/>
            <color indexed="81"/>
            <rFont val="Segoe UI"/>
            <family val="2"/>
          </rPr>
          <t xml:space="preserve">
Total pro ha und Jahr</t>
        </r>
      </text>
    </comment>
    <comment ref="F29" authorId="1" shapeId="0" xr:uid="{B88C9977-045F-46D9-87FF-CB60E124F726}">
      <text>
        <r>
          <rPr>
            <b/>
            <sz val="9"/>
            <color indexed="81"/>
            <rFont val="Segoe UI"/>
            <family val="2"/>
          </rPr>
          <t>Prevost Martina:</t>
        </r>
        <r>
          <rPr>
            <sz val="9"/>
            <color indexed="81"/>
            <rFont val="Segoe UI"/>
            <family val="2"/>
          </rPr>
          <t xml:space="preserve">
auf 75 % der Ausschussware Beiträge für Brennkirschen </t>
        </r>
      </text>
    </comment>
    <comment ref="M29" authorId="1" shapeId="0" xr:uid="{15E13FD9-9438-488A-90AB-6DB9BE107017}">
      <text>
        <r>
          <rPr>
            <b/>
            <sz val="9"/>
            <color indexed="81"/>
            <rFont val="Segoe UI"/>
            <family val="2"/>
          </rPr>
          <t>Prevost Martina:</t>
        </r>
        <r>
          <rPr>
            <sz val="9"/>
            <color indexed="81"/>
            <rFont val="Segoe UI"/>
            <family val="2"/>
          </rPr>
          <t xml:space="preserve">
auf 75 % der Ausschussware Beiträge für Brennkirschen </t>
        </r>
      </text>
    </comment>
    <comment ref="T29" authorId="1" shapeId="0" xr:uid="{9F57C076-4991-4BD8-AB55-76986EEE406D}">
      <text>
        <r>
          <rPr>
            <b/>
            <sz val="9"/>
            <color indexed="81"/>
            <rFont val="Segoe UI"/>
            <family val="2"/>
          </rPr>
          <t>Prevost Martina:</t>
        </r>
        <r>
          <rPr>
            <sz val="9"/>
            <color indexed="81"/>
            <rFont val="Segoe UI"/>
            <family val="2"/>
          </rPr>
          <t xml:space="preserve">
auf 75 % der Ausschussware Beiträge für Brennkirschen </t>
        </r>
      </text>
    </comment>
    <comment ref="AA29" authorId="1" shapeId="0" xr:uid="{AEC5D843-64EA-49E6-8233-2C95FF2DE570}">
      <text>
        <r>
          <rPr>
            <b/>
            <sz val="9"/>
            <color indexed="81"/>
            <rFont val="Segoe UI"/>
            <family val="2"/>
          </rPr>
          <t>Prevost Martina:</t>
        </r>
        <r>
          <rPr>
            <sz val="9"/>
            <color indexed="81"/>
            <rFont val="Segoe UI"/>
            <family val="2"/>
          </rPr>
          <t xml:space="preserve">
auf 75 % der Ausschussware Beiträge für Brennkirschen </t>
        </r>
      </text>
    </comment>
    <comment ref="AH29" authorId="1" shapeId="0" xr:uid="{00575A77-A37D-4DAB-B5A6-F06E9729EEDB}">
      <text>
        <r>
          <rPr>
            <b/>
            <sz val="9"/>
            <color indexed="81"/>
            <rFont val="Segoe UI"/>
            <family val="2"/>
          </rPr>
          <t>Prevost Martina:</t>
        </r>
        <r>
          <rPr>
            <sz val="9"/>
            <color indexed="81"/>
            <rFont val="Segoe UI"/>
            <family val="2"/>
          </rPr>
          <t xml:space="preserve">
auf 75 % der Ausschussware Beiträge für Brennkirschen </t>
        </r>
      </text>
    </comment>
    <comment ref="AO29" authorId="1" shapeId="0" xr:uid="{C5D00198-28E0-49DC-B2C3-460857836B24}">
      <text>
        <r>
          <rPr>
            <b/>
            <sz val="9"/>
            <color indexed="81"/>
            <rFont val="Segoe UI"/>
            <family val="2"/>
          </rPr>
          <t>Prevost Martina:</t>
        </r>
        <r>
          <rPr>
            <sz val="9"/>
            <color indexed="81"/>
            <rFont val="Segoe UI"/>
            <family val="2"/>
          </rPr>
          <t xml:space="preserve">
auf 75 % der Ausschussware Beiträge für Brennkirschen </t>
        </r>
      </text>
    </comment>
    <comment ref="D36" authorId="2" shapeId="0" xr:uid="{00000000-0006-0000-0300-000005000000}">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K36" authorId="2" shapeId="0" xr:uid="{B8BC3F1D-AA7F-4D8E-AB30-3E507CF42559}">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R36" authorId="2" shapeId="0" xr:uid="{6B47DE9E-30EF-4FEF-A10F-774494DF66F0}">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Y36" authorId="2" shapeId="0" xr:uid="{4FF14541-2BCF-4A85-B3CD-2D92B17CD619}">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F36" authorId="2" shapeId="0" xr:uid="{9A31F407-6874-4D2A-8778-75570BD4D75F}">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M36" authorId="2" shapeId="0" xr:uid="{718C33B2-07CD-44B3-86B9-81B0B939119B}">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T36" authorId="2" shapeId="0" xr:uid="{636FE491-DE57-4BF5-B358-B52FD4EBB334}">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A36" authorId="2" shapeId="0" xr:uid="{4C82C6AC-51DA-4620-9348-8F6C2E965448}">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H36" authorId="2" shapeId="0" xr:uid="{24E61D8B-9ED4-4BBA-B8EA-4CA00F9B6D24}">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O36" authorId="2" shapeId="0" xr:uid="{FB135E54-9AD9-4416-9903-93C06AB5E2AC}">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V36" authorId="2" shapeId="0" xr:uid="{F2891C07-CFC9-48BF-9AD4-FFE6E044AD8B}">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C36" authorId="2" shapeId="0" xr:uid="{37196D5B-F985-4720-9C25-4645B8CCFA8E}">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J36" authorId="2" shapeId="0" xr:uid="{D565C78F-9C96-460B-8B49-4DDF4C6FE000}">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Q36" authorId="2" shapeId="0" xr:uid="{F37ED11D-98D1-4464-90C1-C89833CDB5C0}">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X36" authorId="2" shapeId="0" xr:uid="{400B411A-5BA0-4DCB-B28C-51659D24B946}">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DE36" authorId="2" shapeId="0" xr:uid="{F69738C8-A3E3-4584-9FDC-9D44825B2AB2}">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E40" authorId="1" shapeId="0" xr:uid="{CFEE4F90-2E96-4D7B-8EC7-B8889A5F2476}">
      <text>
        <r>
          <rPr>
            <b/>
            <sz val="9"/>
            <color indexed="81"/>
            <rFont val="Segoe UI"/>
            <family val="2"/>
          </rPr>
          <t>Prevost Martina:</t>
        </r>
        <r>
          <rPr>
            <sz val="9"/>
            <color indexed="81"/>
            <rFont val="Segoe UI"/>
            <family val="2"/>
          </rPr>
          <t xml:space="preserve">
Fr./Fu</t>
        </r>
      </text>
    </comment>
    <comment ref="L40" authorId="1" shapeId="0" xr:uid="{BAF5D65C-F522-4CDE-B441-A617FC1B1338}">
      <text>
        <r>
          <rPr>
            <b/>
            <sz val="9"/>
            <color indexed="81"/>
            <rFont val="Segoe UI"/>
            <family val="2"/>
          </rPr>
          <t>Prevost Martina:</t>
        </r>
        <r>
          <rPr>
            <sz val="9"/>
            <color indexed="81"/>
            <rFont val="Segoe UI"/>
            <family val="2"/>
          </rPr>
          <t xml:space="preserve">
Fr./Fu</t>
        </r>
      </text>
    </comment>
    <comment ref="S40" authorId="1" shapeId="0" xr:uid="{2752ACBE-4333-401F-B90C-E3FEB2AEFBB4}">
      <text>
        <r>
          <rPr>
            <b/>
            <sz val="9"/>
            <color indexed="81"/>
            <rFont val="Segoe UI"/>
            <family val="2"/>
          </rPr>
          <t>Prevost Martina:</t>
        </r>
        <r>
          <rPr>
            <sz val="9"/>
            <color indexed="81"/>
            <rFont val="Segoe UI"/>
            <family val="2"/>
          </rPr>
          <t xml:space="preserve">
Fr./Fu</t>
        </r>
      </text>
    </comment>
    <comment ref="Z40" authorId="1" shapeId="0" xr:uid="{BB7FF1F6-A000-4AC8-9CFA-07195022FFED}">
      <text>
        <r>
          <rPr>
            <b/>
            <sz val="9"/>
            <color indexed="81"/>
            <rFont val="Segoe UI"/>
            <family val="2"/>
          </rPr>
          <t>Prevost Martina:</t>
        </r>
        <r>
          <rPr>
            <sz val="9"/>
            <color indexed="81"/>
            <rFont val="Segoe UI"/>
            <family val="2"/>
          </rPr>
          <t xml:space="preserve">
Fr./Fu</t>
        </r>
      </text>
    </comment>
    <comment ref="AG40" authorId="1" shapeId="0" xr:uid="{72E27664-A39D-4557-A587-7A510CB782A0}">
      <text>
        <r>
          <rPr>
            <b/>
            <sz val="9"/>
            <color indexed="81"/>
            <rFont val="Segoe UI"/>
            <family val="2"/>
          </rPr>
          <t>Prevost Martina:</t>
        </r>
        <r>
          <rPr>
            <sz val="9"/>
            <color indexed="81"/>
            <rFont val="Segoe UI"/>
            <family val="2"/>
          </rPr>
          <t xml:space="preserve">
Fr./Fu</t>
        </r>
      </text>
    </comment>
    <comment ref="AN40" authorId="1" shapeId="0" xr:uid="{6E6FCA8F-530B-4E23-9855-BC9081B7968E}">
      <text>
        <r>
          <rPr>
            <b/>
            <sz val="9"/>
            <color indexed="81"/>
            <rFont val="Segoe UI"/>
            <family val="2"/>
          </rPr>
          <t>Prevost Martina:</t>
        </r>
        <r>
          <rPr>
            <sz val="9"/>
            <color indexed="81"/>
            <rFont val="Segoe UI"/>
            <family val="2"/>
          </rPr>
          <t xml:space="preserve">
Fr./Fu</t>
        </r>
      </text>
    </comment>
    <comment ref="AU40" authorId="1" shapeId="0" xr:uid="{4EB6A96A-89FE-4F20-AFA3-755C02FE8A3F}">
      <text>
        <r>
          <rPr>
            <b/>
            <sz val="9"/>
            <color indexed="81"/>
            <rFont val="Segoe UI"/>
            <family val="2"/>
          </rPr>
          <t>Prevost Martina:</t>
        </r>
        <r>
          <rPr>
            <sz val="9"/>
            <color indexed="81"/>
            <rFont val="Segoe UI"/>
            <family val="2"/>
          </rPr>
          <t xml:space="preserve">
Fr./Fu</t>
        </r>
      </text>
    </comment>
    <comment ref="BB40" authorId="1" shapeId="0" xr:uid="{D835F794-8284-4EE1-A9BE-011E7A9B68C1}">
      <text>
        <r>
          <rPr>
            <b/>
            <sz val="9"/>
            <color indexed="81"/>
            <rFont val="Segoe UI"/>
            <family val="2"/>
          </rPr>
          <t>Prevost Martina:</t>
        </r>
        <r>
          <rPr>
            <sz val="9"/>
            <color indexed="81"/>
            <rFont val="Segoe UI"/>
            <family val="2"/>
          </rPr>
          <t xml:space="preserve">
Fr./Fu</t>
        </r>
      </text>
    </comment>
    <comment ref="BI40" authorId="1" shapeId="0" xr:uid="{56F135C2-3853-45B9-BDA8-4A54B8217F9F}">
      <text>
        <r>
          <rPr>
            <b/>
            <sz val="9"/>
            <color indexed="81"/>
            <rFont val="Segoe UI"/>
            <family val="2"/>
          </rPr>
          <t>Prevost Martina:</t>
        </r>
        <r>
          <rPr>
            <sz val="9"/>
            <color indexed="81"/>
            <rFont val="Segoe UI"/>
            <family val="2"/>
          </rPr>
          <t xml:space="preserve">
Fr./Fu</t>
        </r>
      </text>
    </comment>
    <comment ref="BP40" authorId="1" shapeId="0" xr:uid="{4B05D27D-6F46-44E9-9679-F4164B837801}">
      <text>
        <r>
          <rPr>
            <b/>
            <sz val="9"/>
            <color indexed="81"/>
            <rFont val="Segoe UI"/>
            <family val="2"/>
          </rPr>
          <t>Prevost Martina:</t>
        </r>
        <r>
          <rPr>
            <sz val="9"/>
            <color indexed="81"/>
            <rFont val="Segoe UI"/>
            <family val="2"/>
          </rPr>
          <t xml:space="preserve">
Fr./Fu</t>
        </r>
      </text>
    </comment>
    <comment ref="BW40" authorId="1" shapeId="0" xr:uid="{97BF4B4F-2F97-4B8C-BC61-E63A57BE9C2D}">
      <text>
        <r>
          <rPr>
            <b/>
            <sz val="9"/>
            <color indexed="81"/>
            <rFont val="Segoe UI"/>
            <family val="2"/>
          </rPr>
          <t>Prevost Martina:</t>
        </r>
        <r>
          <rPr>
            <sz val="9"/>
            <color indexed="81"/>
            <rFont val="Segoe UI"/>
            <family val="2"/>
          </rPr>
          <t xml:space="preserve">
Fr./Fu</t>
        </r>
      </text>
    </comment>
    <comment ref="CD40" authorId="1" shapeId="0" xr:uid="{32935A71-2B84-4B9D-A1EB-0CA9A622F3D6}">
      <text>
        <r>
          <rPr>
            <b/>
            <sz val="9"/>
            <color indexed="81"/>
            <rFont val="Segoe UI"/>
            <family val="2"/>
          </rPr>
          <t>Prevost Martina:</t>
        </r>
        <r>
          <rPr>
            <sz val="9"/>
            <color indexed="81"/>
            <rFont val="Segoe UI"/>
            <family val="2"/>
          </rPr>
          <t xml:space="preserve">
Fr./Fu</t>
        </r>
      </text>
    </comment>
    <comment ref="CK40" authorId="1" shapeId="0" xr:uid="{5E865897-9699-4DB7-92BF-00B037E0371C}">
      <text>
        <r>
          <rPr>
            <b/>
            <sz val="9"/>
            <color indexed="81"/>
            <rFont val="Segoe UI"/>
            <family val="2"/>
          </rPr>
          <t>Prevost Martina:</t>
        </r>
        <r>
          <rPr>
            <sz val="9"/>
            <color indexed="81"/>
            <rFont val="Segoe UI"/>
            <family val="2"/>
          </rPr>
          <t xml:space="preserve">
Fr./Fu</t>
        </r>
      </text>
    </comment>
    <comment ref="CR40" authorId="1" shapeId="0" xr:uid="{2972F146-DE2B-42F4-BB83-96DFAB16F7E9}">
      <text>
        <r>
          <rPr>
            <b/>
            <sz val="9"/>
            <color indexed="81"/>
            <rFont val="Segoe UI"/>
            <family val="2"/>
          </rPr>
          <t>Prevost Martina:</t>
        </r>
        <r>
          <rPr>
            <sz val="9"/>
            <color indexed="81"/>
            <rFont val="Segoe UI"/>
            <family val="2"/>
          </rPr>
          <t xml:space="preserve">
Fr./Fu</t>
        </r>
      </text>
    </comment>
    <comment ref="CY40" authorId="1" shapeId="0" xr:uid="{7B0CB02D-DAF8-4278-85AD-F31C3E55CC84}">
      <text>
        <r>
          <rPr>
            <b/>
            <sz val="9"/>
            <color indexed="81"/>
            <rFont val="Segoe UI"/>
            <family val="2"/>
          </rPr>
          <t>Prevost Martina:</t>
        </r>
        <r>
          <rPr>
            <sz val="9"/>
            <color indexed="81"/>
            <rFont val="Segoe UI"/>
            <family val="2"/>
          </rPr>
          <t xml:space="preserve">
Fr./Fu</t>
        </r>
      </text>
    </comment>
    <comment ref="DF40" authorId="1" shapeId="0" xr:uid="{1DC63FD0-3EA6-4281-B394-D9F408F70754}">
      <text>
        <r>
          <rPr>
            <b/>
            <sz val="9"/>
            <color indexed="81"/>
            <rFont val="Segoe UI"/>
            <family val="2"/>
          </rPr>
          <t>Prevost Martina:</t>
        </r>
        <r>
          <rPr>
            <sz val="9"/>
            <color indexed="81"/>
            <rFont val="Segoe UI"/>
            <family val="2"/>
          </rPr>
          <t xml:space="preserve">
Fr./Fu</t>
        </r>
      </text>
    </comment>
    <comment ref="P62" authorId="1" shapeId="0" xr:uid="{B420F120-C866-4CE7-9B1D-1373E18AE182}">
      <text>
        <r>
          <rPr>
            <b/>
            <sz val="9"/>
            <color indexed="81"/>
            <rFont val="Segoe UI"/>
            <family val="2"/>
          </rPr>
          <t>Prevost Martina:</t>
        </r>
        <r>
          <rPr>
            <sz val="9"/>
            <color indexed="81"/>
            <rFont val="Segoe UI"/>
            <family val="2"/>
          </rPr>
          <t xml:space="preserve">
1. Montage Folie, Einnetzung und falls vorhanden Hagelnetz</t>
        </r>
      </text>
    </comment>
    <comment ref="DC79" authorId="2" shapeId="0" xr:uid="{00000000-0006-0000-0300-000014000000}">
      <text>
        <r>
          <rPr>
            <b/>
            <sz val="8"/>
            <color indexed="81"/>
            <rFont val="Tahoma"/>
            <family val="2"/>
          </rPr>
          <t>P. Mouron:</t>
        </r>
        <r>
          <rPr>
            <sz val="8"/>
            <color indexed="81"/>
            <rFont val="Tahoma"/>
            <family val="2"/>
          </rPr>
          <t xml:space="preserve">
Rodungskosten fallen im letzten Jahr an.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 Mouron</author>
    <author>Prevost Martina</author>
  </authors>
  <commentList>
    <comment ref="E6" authorId="0" shapeId="0" xr:uid="{00000000-0006-0000-0400-000001000000}">
      <text>
        <r>
          <rPr>
            <sz val="10"/>
            <color indexed="81"/>
            <rFont val="Tahoma"/>
            <family val="2"/>
          </rPr>
          <t>Kosten für Gebindebenutzung und Transport (vom Betrieb zur Genossenschaft) sind hier pauschal bereits abgezogen.</t>
        </r>
        <r>
          <rPr>
            <sz val="8"/>
            <color indexed="81"/>
            <rFont val="Tahoma"/>
            <family val="2"/>
          </rPr>
          <t xml:space="preserve">
</t>
        </r>
      </text>
    </comment>
    <comment ref="B7" authorId="1" shapeId="0" xr:uid="{81CC7B0B-A47B-45C1-BA5B-D51236CAA597}">
      <text>
        <r>
          <rPr>
            <b/>
            <sz val="9"/>
            <color indexed="81"/>
            <rFont val="Segoe UI"/>
            <family val="2"/>
          </rPr>
          <t>Prevost Martina:</t>
        </r>
        <r>
          <rPr>
            <sz val="9"/>
            <color indexed="81"/>
            <rFont val="Segoe UI"/>
            <family val="2"/>
          </rPr>
          <t xml:space="preserve">
späte Sorten 24+ mm</t>
        </r>
      </text>
    </comment>
    <comment ref="C14" authorId="1" shapeId="0" xr:uid="{BF015726-2918-4570-B86D-849EEACBECC8}">
      <text>
        <r>
          <rPr>
            <b/>
            <sz val="9"/>
            <color indexed="81"/>
            <rFont val="Segoe UI"/>
            <family val="2"/>
          </rPr>
          <t>Prevost Martina:</t>
        </r>
        <r>
          <rPr>
            <sz val="9"/>
            <color indexed="81"/>
            <rFont val="Segoe UI"/>
            <family val="2"/>
          </rPr>
          <t xml:space="preserve">
alle 2 von 3 Jahren</t>
        </r>
      </text>
    </comment>
    <comment ref="D14" authorId="1" shapeId="0" xr:uid="{66EC5B8C-1ECC-4049-BF4C-0353F08A8EBA}">
      <text>
        <r>
          <rPr>
            <b/>
            <sz val="9"/>
            <color indexed="81"/>
            <rFont val="Segoe UI"/>
            <family val="2"/>
          </rPr>
          <t>Prevost Martina:</t>
        </r>
        <r>
          <rPr>
            <sz val="9"/>
            <color indexed="81"/>
            <rFont val="Segoe UI"/>
            <family val="2"/>
          </rPr>
          <t xml:space="preserve">
alle 2 von 3 Jahren</t>
        </r>
      </text>
    </comment>
    <comment ref="C15" authorId="1" shapeId="0" xr:uid="{90F98206-DD87-4A05-9023-7CDB8F8EE440}">
      <text>
        <r>
          <rPr>
            <b/>
            <sz val="9"/>
            <color indexed="81"/>
            <rFont val="Segoe UI"/>
            <family val="2"/>
          </rPr>
          <t>Prevost Martina:</t>
        </r>
        <r>
          <rPr>
            <sz val="9"/>
            <color indexed="81"/>
            <rFont val="Segoe UI"/>
            <family val="2"/>
          </rPr>
          <t xml:space="preserve">
Alle drei Jahre</t>
        </r>
      </text>
    </comment>
    <comment ref="D15" authorId="1" shapeId="0" xr:uid="{A412C527-1DFB-4089-B1D9-D6FD52044A09}">
      <text>
        <r>
          <rPr>
            <b/>
            <sz val="9"/>
            <color indexed="81"/>
            <rFont val="Segoe UI"/>
            <family val="2"/>
          </rPr>
          <t>Prevost Martina:</t>
        </r>
        <r>
          <rPr>
            <sz val="9"/>
            <color indexed="81"/>
            <rFont val="Segoe UI"/>
            <family val="2"/>
          </rPr>
          <t xml:space="preserve">
Alle drei Jahre</t>
        </r>
      </text>
    </comment>
    <comment ref="C16" authorId="0" shapeId="0" xr:uid="{BD7A890B-37C8-49C5-A357-9AE40B7AC599}">
      <text>
        <r>
          <rPr>
            <sz val="8"/>
            <color indexed="81"/>
            <rFont val="Tahoma"/>
            <family val="2"/>
          </rPr>
          <t xml:space="preserve">Anzahl Fahrten
</t>
        </r>
      </text>
    </comment>
    <comment ref="F23" authorId="0" shapeId="0" xr:uid="{6808DC1F-4D78-42AA-B532-A140D220FA98}">
      <text>
        <r>
          <rPr>
            <sz val="10"/>
            <color indexed="81"/>
            <rFont val="Tahoma"/>
            <family val="2"/>
          </rPr>
          <t xml:space="preserve">Versicherungssumme   20'000.- Fr.
</t>
        </r>
      </text>
    </comment>
    <comment ref="C30" authorId="0" shapeId="0" xr:uid="{9430516A-172B-4BF2-898B-9F6385C56A45}">
      <text>
        <r>
          <rPr>
            <sz val="8"/>
            <color indexed="81"/>
            <rFont val="Tahoma"/>
            <family val="2"/>
          </rPr>
          <t xml:space="preserve">
Annahme: Eine 2. Folie ist ca. im 9 Stj. notwendig.
Zur Vereinfachung wird gerechnet, wie wenn die Folie zu Beginn Vollertrag bereitsgekauft wäre. Deshalb die Abschreibedauer von 12 J., obwohl für die Folie nur mit einer Einsatzdauer von 6 ausgegangen werden kann. </t>
        </r>
      </text>
    </comment>
    <comment ref="C31" authorId="1" shapeId="0" xr:uid="{C19CCE08-B49A-433E-BDE5-F76FC3EAEEC6}">
      <text>
        <r>
          <rPr>
            <b/>
            <sz val="9"/>
            <color indexed="81"/>
            <rFont val="Segoe UI"/>
            <family val="2"/>
          </rPr>
          <t>Prevost Martina:</t>
        </r>
        <r>
          <rPr>
            <sz val="9"/>
            <color indexed="81"/>
            <rFont val="Segoe UI"/>
            <family val="2"/>
          </rPr>
          <t xml:space="preserve">
Annahme: Ein Ersatz Einnetzung/Hagelnetz ist ca. im 10 Stj. notwendig.
Zur Vereinfachung wird gerechnet, wie wenn die Netze zu Beginn Vollertrag bereitsgekauft wären. Deshalb die Abschreibedauer von 12 J., obwohl für die Netze nur mit einer Einsatzdauer von 7 ausgegangen werden kann. </t>
        </r>
      </text>
    </comment>
    <comment ref="E39" authorId="0" shapeId="0" xr:uid="{00000000-0006-0000-0400-000004000000}">
      <text>
        <r>
          <rPr>
            <sz val="8"/>
            <color indexed="81"/>
            <rFont val="Tahoma"/>
            <family val="2"/>
          </rPr>
          <t xml:space="preserve">
Fr./Durchgang = Fr./ha weil Arbokost die Kosten für 1 ha ausweist
FAT-Ansätze für fixe+variable Kosten</t>
        </r>
      </text>
    </comment>
    <comment ref="E42" authorId="1" shapeId="0" xr:uid="{F6B84051-55FD-4295-83A6-DB97924A4EA7}">
      <text>
        <r>
          <rPr>
            <b/>
            <sz val="9"/>
            <color indexed="81"/>
            <rFont val="Segoe UI"/>
            <family val="2"/>
          </rPr>
          <t>Prevost Martina:</t>
        </r>
        <r>
          <rPr>
            <sz val="9"/>
            <color indexed="81"/>
            <rFont val="Segoe UI"/>
            <family val="2"/>
          </rPr>
          <t xml:space="preserve">
Fr./Fu</t>
        </r>
      </text>
    </comment>
    <comment ref="E45" authorId="1" shapeId="0" xr:uid="{1601F5DF-0A3B-4E87-801E-50D69CEA2D20}">
      <text>
        <r>
          <rPr>
            <b/>
            <sz val="9"/>
            <color indexed="81"/>
            <rFont val="Segoe UI"/>
            <family val="2"/>
          </rPr>
          <t>Prevost Martina:</t>
        </r>
        <r>
          <rPr>
            <sz val="9"/>
            <color indexed="81"/>
            <rFont val="Segoe UI"/>
            <family val="2"/>
          </rPr>
          <t xml:space="preserve">
Fr./h</t>
        </r>
      </text>
    </comment>
    <comment ref="E48" authorId="1" shapeId="0" xr:uid="{E16D9B3B-0E9E-4DA2-B34D-85E4585C9A7D}">
      <text>
        <r>
          <rPr>
            <b/>
            <sz val="9"/>
            <color indexed="81"/>
            <rFont val="Segoe UI"/>
            <family val="2"/>
          </rPr>
          <t>Prevost Martina:</t>
        </r>
        <r>
          <rPr>
            <sz val="9"/>
            <color indexed="81"/>
            <rFont val="Segoe UI"/>
            <family val="2"/>
          </rPr>
          <t xml:space="preserve">
Fr./h</t>
        </r>
      </text>
    </comment>
    <comment ref="E51" authorId="1" shapeId="0" xr:uid="{01A50497-7687-4491-AAAA-BA72B9B943AD}">
      <text>
        <r>
          <rPr>
            <b/>
            <sz val="9"/>
            <color indexed="81"/>
            <rFont val="Segoe UI"/>
            <family val="2"/>
          </rPr>
          <t>Prevost Martina:</t>
        </r>
        <r>
          <rPr>
            <sz val="9"/>
            <color indexed="81"/>
            <rFont val="Segoe UI"/>
            <family val="2"/>
          </rPr>
          <t xml:space="preserve">
Fr./h</t>
        </r>
      </text>
    </comment>
    <comment ref="A82" authorId="0" shapeId="0" xr:uid="{7B8C0FFF-28C2-43B6-B444-5FCCB042EA21}">
      <text>
        <r>
          <rPr>
            <sz val="8"/>
            <color indexed="81"/>
            <rFont val="Tahoma"/>
            <family val="2"/>
          </rPr>
          <t xml:space="preserve">
</t>
        </r>
        <r>
          <rPr>
            <sz val="10"/>
            <color indexed="81"/>
            <rFont val="Tahoma"/>
            <family val="2"/>
          </rPr>
          <t>Wenn dieser Betrag mit dem Gesamterlös im Durchschnitt nicht gedeckt werden kann, sollte die Parzelle gerodet werden.
Mit dem Betriebsminimum werden die variablen Kosten gedeckt. Nicht gedeckt sind: Abschreibung Obstanlage, Abschreibung Maschinen und Zinsanspruch</t>
        </r>
      </text>
    </comment>
    <comment ref="C88" authorId="1" shapeId="0" xr:uid="{8DD2FF30-209A-40AD-8F29-B1999A5FD9A5}">
      <text>
        <r>
          <rPr>
            <b/>
            <sz val="9"/>
            <color indexed="81"/>
            <rFont val="Segoe UI"/>
            <family val="2"/>
          </rPr>
          <t>Prevost Martina:</t>
        </r>
        <r>
          <rPr>
            <sz val="9"/>
            <color indexed="81"/>
            <rFont val="Segoe UI"/>
            <family val="2"/>
          </rPr>
          <t xml:space="preserve">
späte Sorten 24+ mm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Prevost Martina</author>
  </authors>
  <commentList>
    <comment ref="E21" authorId="0" shapeId="0" xr:uid="{84A0A8DA-119C-41CB-A67D-0A3F7B6D0E3B}">
      <text>
        <r>
          <rPr>
            <b/>
            <sz val="9"/>
            <color indexed="81"/>
            <rFont val="Segoe UI"/>
            <family val="2"/>
          </rPr>
          <t>Prevost Martina:</t>
        </r>
        <r>
          <rPr>
            <sz val="9"/>
            <color indexed="81"/>
            <rFont val="Segoe UI"/>
            <family val="2"/>
          </rPr>
          <t xml:space="preserve">
späte Sorten 24+ mm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FAW</author>
    <author>Prevost Martina</author>
    <author>P. Mouron</author>
    <author>referent</author>
    <author>Louw-Prevost Martina AGROSCOPE</author>
  </authors>
  <commentList>
    <comment ref="B11" authorId="0" shapeId="0" xr:uid="{00000000-0006-0000-0600-000001000000}">
      <text>
        <r>
          <rPr>
            <sz val="11"/>
            <color indexed="81"/>
            <rFont val="Tahoma"/>
            <family val="2"/>
          </rPr>
          <t>Berechnung siehe Tabelle "Standard Erstellung"</t>
        </r>
      </text>
    </comment>
    <comment ref="B20" authorId="1" shapeId="0" xr:uid="{A4B9F702-09A8-425F-97E7-7CE141B51BDE}">
      <text>
        <r>
          <rPr>
            <b/>
            <sz val="9"/>
            <color indexed="81"/>
            <rFont val="Segoe UI"/>
            <family val="2"/>
          </rPr>
          <t>Prevost Martina:</t>
        </r>
        <r>
          <rPr>
            <sz val="9"/>
            <color indexed="81"/>
            <rFont val="Segoe UI"/>
            <family val="2"/>
          </rPr>
          <t xml:space="preserve">
späte Sorten 24+ mm</t>
        </r>
      </text>
    </comment>
    <comment ref="A26" authorId="0" shapeId="0" xr:uid="{00000000-0006-0000-0600-000002000000}">
      <text>
        <r>
          <rPr>
            <sz val="8"/>
            <color indexed="81"/>
            <rFont val="Tahoma"/>
            <family val="2"/>
          </rPr>
          <t>Quelle M Salathé:
Kordia benötigt keine Lizenz</t>
        </r>
      </text>
    </comment>
    <comment ref="F35" authorId="1" shapeId="0" xr:uid="{0167C705-341F-4E6F-AFB6-DA5163D37B6B}">
      <text>
        <r>
          <rPr>
            <b/>
            <sz val="9"/>
            <color indexed="81"/>
            <rFont val="Segoe UI"/>
            <family val="2"/>
          </rPr>
          <t xml:space="preserve">Prevost Martina:
</t>
        </r>
        <r>
          <rPr>
            <sz val="9"/>
            <color indexed="81"/>
            <rFont val="Segoe UI"/>
            <family val="2"/>
          </rPr>
          <t>für Transport</t>
        </r>
      </text>
    </comment>
    <comment ref="C36" authorId="2" shapeId="0" xr:uid="{00000000-0006-0000-0600-000003000000}">
      <text>
        <r>
          <rPr>
            <sz val="10"/>
            <color indexed="81"/>
            <rFont val="Tahoma"/>
            <family val="2"/>
          </rPr>
          <t>Nach FAT
genauer Faktor bei 12 Jahren Abschreibungsdauer: 0.542</t>
        </r>
      </text>
    </comment>
    <comment ref="B40" authorId="0" shapeId="0" xr:uid="{00000000-0006-0000-0600-000006000000}">
      <text>
        <r>
          <rPr>
            <sz val="10"/>
            <color indexed="81"/>
            <rFont val="Tahoma"/>
            <family val="2"/>
          </rPr>
          <t>späte Sorten 24+ mm
Schale von 500g netto, Fr./kg ohne Gebinde</t>
        </r>
        <r>
          <rPr>
            <sz val="8"/>
            <color indexed="81"/>
            <rFont val="Tahoma"/>
            <family val="2"/>
          </rPr>
          <t xml:space="preserve">
</t>
        </r>
      </text>
    </comment>
    <comment ref="B63" authorId="1" shapeId="0" xr:uid="{4203D1DF-45E9-4304-8AB3-9BE635CF2B72}">
      <text>
        <r>
          <rPr>
            <b/>
            <sz val="9"/>
            <color indexed="81"/>
            <rFont val="Segoe UI"/>
            <family val="2"/>
          </rPr>
          <t>Prevost Martina:</t>
        </r>
        <r>
          <rPr>
            <sz val="9"/>
            <color indexed="81"/>
            <rFont val="Segoe UI"/>
            <family val="2"/>
          </rPr>
          <t xml:space="preserve">
späte Sorten 24+ mm</t>
        </r>
      </text>
    </comment>
    <comment ref="D63" authorId="2" shapeId="0" xr:uid="{00000000-0006-0000-0600-000007000000}">
      <text>
        <r>
          <rPr>
            <sz val="8"/>
            <color indexed="81"/>
            <rFont val="Tahoma"/>
            <family val="2"/>
          </rPr>
          <t>Ernte in Grosskisten, grob sortiert am Baum,
inkl. Transport und Gebindeumschlag)</t>
        </r>
      </text>
    </comment>
    <comment ref="C96" authorId="3" shapeId="0" xr:uid="{AA14CA3E-6DE8-4696-9856-B78C8C2D245B}">
      <text>
        <r>
          <rPr>
            <b/>
            <sz val="8"/>
            <color indexed="81"/>
            <rFont val="Tahoma"/>
            <family val="2"/>
          </rPr>
          <t>referent:</t>
        </r>
        <r>
          <rPr>
            <sz val="8"/>
            <color indexed="81"/>
            <rFont val="Tahoma"/>
            <family val="2"/>
          </rPr>
          <t xml:space="preserve">
Transportkosten</t>
        </r>
      </text>
    </comment>
    <comment ref="D96" authorId="3" shapeId="0" xr:uid="{00000000-0006-0000-0600-000008000000}">
      <text>
        <r>
          <rPr>
            <b/>
            <sz val="8"/>
            <color indexed="81"/>
            <rFont val="Tahoma"/>
            <family val="2"/>
          </rPr>
          <t>referent:</t>
        </r>
        <r>
          <rPr>
            <sz val="8"/>
            <color indexed="81"/>
            <rFont val="Tahoma"/>
            <family val="2"/>
          </rPr>
          <t xml:space="preserve">
Transportkosten</t>
        </r>
      </text>
    </comment>
    <comment ref="D102" authorId="1" shapeId="0" xr:uid="{CDE57538-E56C-4D2C-89E1-CC662DED56FE}">
      <text>
        <r>
          <rPr>
            <b/>
            <sz val="9"/>
            <color indexed="81"/>
            <rFont val="Segoe UI"/>
            <family val="2"/>
          </rPr>
          <t>Prevost Martina:</t>
        </r>
        <r>
          <rPr>
            <sz val="9"/>
            <color indexed="81"/>
            <rFont val="Segoe UI"/>
            <family val="2"/>
          </rPr>
          <t xml:space="preserve">
1/3 weniger als Ertragsphase</t>
        </r>
      </text>
    </comment>
    <comment ref="C104" authorId="1" shapeId="0" xr:uid="{B5BE407B-4745-45BC-A304-3B3DCCBF5121}">
      <text>
        <r>
          <rPr>
            <b/>
            <sz val="9"/>
            <color indexed="81"/>
            <rFont val="Segoe UI"/>
            <family val="2"/>
          </rPr>
          <t>Prevost Martina:</t>
        </r>
        <r>
          <rPr>
            <sz val="9"/>
            <color indexed="81"/>
            <rFont val="Segoe UI"/>
            <family val="2"/>
          </rPr>
          <t xml:space="preserve">
1/3 weniger als Ertragsphase</t>
        </r>
      </text>
    </comment>
    <comment ref="C106" authorId="1" shapeId="0" xr:uid="{E20B5B68-1D30-4460-81CA-16C1B5259524}">
      <text>
        <r>
          <rPr>
            <b/>
            <sz val="9"/>
            <color indexed="81"/>
            <rFont val="Segoe UI"/>
            <family val="2"/>
          </rPr>
          <t>Prevost Martina:</t>
        </r>
        <r>
          <rPr>
            <sz val="9"/>
            <color indexed="81"/>
            <rFont val="Segoe UI"/>
            <family val="2"/>
          </rPr>
          <t xml:space="preserve">
alle 2 von 3 Jahren</t>
        </r>
      </text>
    </comment>
    <comment ref="D106" authorId="0" shapeId="0" xr:uid="{00000000-0006-0000-0600-000009000000}">
      <text>
        <r>
          <rPr>
            <b/>
            <sz val="8"/>
            <color indexed="81"/>
            <rFont val="Tahoma"/>
            <family val="2"/>
          </rPr>
          <t>FAW:</t>
        </r>
        <r>
          <rPr>
            <sz val="8"/>
            <color indexed="81"/>
            <rFont val="Tahoma"/>
            <family val="2"/>
          </rPr>
          <t xml:space="preserve">
Alle drei Jahre</t>
        </r>
      </text>
    </comment>
    <comment ref="C107" authorId="1" shapeId="0" xr:uid="{DD01EBFC-AF9A-43AC-A95E-6D2AD29D12DA}">
      <text>
        <r>
          <rPr>
            <b/>
            <sz val="9"/>
            <color indexed="81"/>
            <rFont val="Segoe UI"/>
            <family val="2"/>
          </rPr>
          <t>Prevost Martina:</t>
        </r>
        <r>
          <rPr>
            <sz val="9"/>
            <color indexed="81"/>
            <rFont val="Segoe UI"/>
            <family val="2"/>
          </rPr>
          <t xml:space="preserve">
alle 2 von 3 Jahren
20 t Frischsubstanz -&gt; 27 m3 -&gt; 2 m3 pro Fahrt (3 m3 nicht möglich, da zu schwer) &gt;14 Fahrten
(Mistdichte frisch: Ø 750 kg/m3)</t>
        </r>
      </text>
    </comment>
    <comment ref="D107" authorId="4" shapeId="0" xr:uid="{00000000-0006-0000-0600-00000B000000}">
      <text>
        <r>
          <rPr>
            <b/>
            <sz val="9"/>
            <color indexed="81"/>
            <rFont val="Segoe UI"/>
            <family val="2"/>
          </rPr>
          <t>Louw-Prevost Martina AGROSCOPE:</t>
        </r>
        <r>
          <rPr>
            <sz val="9"/>
            <color indexed="81"/>
            <rFont val="Segoe UI"/>
            <family val="2"/>
          </rPr>
          <t xml:space="preserve">
gleich wie bei Apfel bio &gt; alle 3 Jahre 
25 t TS/ha = 50 t Frischsubstanz -&gt; 100 m3 -&gt; 33 Fahrten
(Kompostdichte feucht: Ø 500 kg/m3)</t>
        </r>
      </text>
    </comment>
    <comment ref="E111" authorId="1" shapeId="0" xr:uid="{1F0D1E7A-BEEA-4488-87D4-78947CF3C742}">
      <text>
        <r>
          <rPr>
            <b/>
            <sz val="9"/>
            <color indexed="81"/>
            <rFont val="Segoe UI"/>
            <family val="2"/>
          </rPr>
          <t>Prevost Martina:</t>
        </r>
        <r>
          <rPr>
            <sz val="9"/>
            <color indexed="81"/>
            <rFont val="Segoe UI"/>
            <family val="2"/>
          </rPr>
          <t xml:space="preserve">
Preise Agroline 2023 (2. Preisstufe)</t>
        </r>
      </text>
    </comment>
    <comment ref="B112" authorId="1" shapeId="0" xr:uid="{6A5A58FB-37AD-49E2-B51C-23802B770D30}">
      <text>
        <r>
          <rPr>
            <b/>
            <sz val="9"/>
            <color indexed="81"/>
            <rFont val="Segoe UI"/>
            <family val="2"/>
          </rPr>
          <t>Prevost Martina:</t>
        </r>
        <r>
          <rPr>
            <sz val="9"/>
            <color indexed="81"/>
            <rFont val="Segoe UI"/>
            <family val="2"/>
          </rPr>
          <t xml:space="preserve">
Oxykupfer 35</t>
        </r>
      </text>
    </comment>
    <comment ref="B121" authorId="1" shapeId="0" xr:uid="{492FA127-67A3-4AC2-86CD-C111F8372113}">
      <text>
        <r>
          <rPr>
            <b/>
            <sz val="9"/>
            <color indexed="81"/>
            <rFont val="Segoe UI"/>
            <family val="2"/>
          </rPr>
          <t>Prevost Martina:</t>
        </r>
        <r>
          <rPr>
            <sz val="9"/>
            <color indexed="81"/>
            <rFont val="Segoe UI"/>
            <family val="2"/>
          </rPr>
          <t xml:space="preserve">
Nur mit Rückenspritze behandelt, da Bäume noch zu klein</t>
        </r>
      </text>
    </comment>
    <comment ref="A122" authorId="4" shapeId="0" xr:uid="{649F3723-B206-4F4C-8850-5BB67BA14DB8}">
      <text>
        <r>
          <rPr>
            <b/>
            <sz val="9"/>
            <color indexed="81"/>
            <rFont val="Segoe UI"/>
            <family val="2"/>
          </rPr>
          <t>Louw-Prevost Martina AGROSCOPE:</t>
        </r>
        <r>
          <rPr>
            <sz val="9"/>
            <color indexed="81"/>
            <rFont val="Segoe UI"/>
            <family val="2"/>
          </rPr>
          <t xml:space="preserve">
Anzahl Fahrten für mechanische Unkrautbekämpfung</t>
        </r>
      </text>
    </comment>
    <comment ref="A123" authorId="4" shapeId="0" xr:uid="{C7FC58EB-04B5-4BB1-90A4-C73D2F58E7A0}">
      <text>
        <r>
          <rPr>
            <b/>
            <sz val="9"/>
            <color indexed="81"/>
            <rFont val="Segoe UI"/>
            <family val="2"/>
          </rPr>
          <t>Louw-Prevost Martina AGROSCOPE:</t>
        </r>
        <r>
          <rPr>
            <sz val="9"/>
            <color indexed="81"/>
            <rFont val="Segoe UI"/>
            <family val="2"/>
          </rPr>
          <t xml:space="preserve">
Anzahl Fahrten für mechanische Unkrautbekämpfung</t>
        </r>
      </text>
    </comment>
    <comment ref="E125" authorId="1" shapeId="0" xr:uid="{E4225D85-E4F9-4B94-94E2-C67228FB554F}">
      <text>
        <r>
          <rPr>
            <b/>
            <sz val="9"/>
            <color indexed="81"/>
            <rFont val="Segoe UI"/>
            <family val="2"/>
          </rPr>
          <t>Prevost Martina:</t>
        </r>
        <r>
          <rPr>
            <sz val="9"/>
            <color indexed="81"/>
            <rFont val="Segoe UI"/>
            <family val="2"/>
          </rPr>
          <t xml:space="preserve">
Preise Agroline 2023 (2. Preisstufe)</t>
        </r>
      </text>
    </comment>
    <comment ref="B126" authorId="1" shapeId="0" xr:uid="{8BE162F1-C9EE-452C-B387-B69077CAEC23}">
      <text>
        <r>
          <rPr>
            <b/>
            <sz val="9"/>
            <color indexed="81"/>
            <rFont val="Segoe UI"/>
            <family val="2"/>
          </rPr>
          <t>Prevost Martina:</t>
        </r>
        <r>
          <rPr>
            <sz val="9"/>
            <color indexed="81"/>
            <rFont val="Segoe UI"/>
            <family val="2"/>
          </rPr>
          <t xml:space="preserve">
Oxykupfer 35</t>
        </r>
      </text>
    </comment>
    <comment ref="A136" authorId="4" shapeId="0" xr:uid="{A0ABB579-286D-428D-80A8-45A4CA6BBB5B}">
      <text>
        <r>
          <rPr>
            <b/>
            <sz val="9"/>
            <color indexed="81"/>
            <rFont val="Segoe UI"/>
            <family val="2"/>
          </rPr>
          <t>Louw-Prevost Martina AGROSCOPE:</t>
        </r>
        <r>
          <rPr>
            <sz val="9"/>
            <color indexed="81"/>
            <rFont val="Segoe UI"/>
            <family val="2"/>
          </rPr>
          <t xml:space="preserve">
Anzahl Fahrten für mechanische Unkrautbekämpfung</t>
        </r>
      </text>
    </comment>
    <comment ref="A137" authorId="4" shapeId="0" xr:uid="{00000000-0006-0000-0600-00000C000000}">
      <text>
        <r>
          <rPr>
            <b/>
            <sz val="9"/>
            <color indexed="81"/>
            <rFont val="Segoe UI"/>
            <family val="2"/>
          </rPr>
          <t>Louw-Prevost Martina AGROSCOPE:</t>
        </r>
        <r>
          <rPr>
            <sz val="9"/>
            <color indexed="81"/>
            <rFont val="Segoe UI"/>
            <family val="2"/>
          </rPr>
          <t xml:space="preserve">
Anzahl Fahrten für mechanische Unkrautbekämpfung</t>
        </r>
      </text>
    </comment>
    <comment ref="E139" authorId="1" shapeId="0" xr:uid="{39F0B09A-1EC5-4535-891A-9639F9683086}">
      <text>
        <r>
          <rPr>
            <b/>
            <sz val="9"/>
            <color indexed="81"/>
            <rFont val="Segoe UI"/>
            <family val="2"/>
          </rPr>
          <t>Prevost Martina:</t>
        </r>
        <r>
          <rPr>
            <sz val="9"/>
            <color indexed="81"/>
            <rFont val="Segoe UI"/>
            <family val="2"/>
          </rPr>
          <t xml:space="preserve">
Preise Agroline 2023 (2. Preisstufe)</t>
        </r>
      </text>
    </comment>
    <comment ref="B140" authorId="1" shapeId="0" xr:uid="{ECA96487-B5BB-44D7-AA9A-CE571B8AB0EB}">
      <text>
        <r>
          <rPr>
            <b/>
            <sz val="9"/>
            <color indexed="81"/>
            <rFont val="Segoe UI"/>
            <family val="2"/>
          </rPr>
          <t>Prevost Martina:</t>
        </r>
        <r>
          <rPr>
            <sz val="9"/>
            <color indexed="81"/>
            <rFont val="Segoe UI"/>
            <family val="2"/>
          </rPr>
          <t xml:space="preserve">
Oxykupfer 35</t>
        </r>
      </text>
    </comment>
    <comment ref="A146" authorId="4" shapeId="0" xr:uid="{9FFC2316-E13C-437D-9669-2B8043C50A47}">
      <text>
        <r>
          <rPr>
            <b/>
            <sz val="9"/>
            <color indexed="81"/>
            <rFont val="Segoe UI"/>
            <family val="2"/>
          </rPr>
          <t>Louw-Prevost Martina AGROSCOPE:</t>
        </r>
        <r>
          <rPr>
            <sz val="9"/>
            <color indexed="81"/>
            <rFont val="Segoe UI"/>
            <family val="2"/>
          </rPr>
          <t xml:space="preserve">
Anzahl Fahrten für mechanische Unkrautbekämpfung</t>
        </r>
      </text>
    </comment>
    <comment ref="A147" authorId="4" shapeId="0" xr:uid="{41B8A3DB-00C6-4EDD-93F4-9B1E55EB7D67}">
      <text>
        <r>
          <rPr>
            <b/>
            <sz val="9"/>
            <color indexed="81"/>
            <rFont val="Segoe UI"/>
            <family val="2"/>
          </rPr>
          <t>Louw-Prevost Martina AGROSCOPE:</t>
        </r>
        <r>
          <rPr>
            <sz val="9"/>
            <color indexed="81"/>
            <rFont val="Segoe UI"/>
            <family val="2"/>
          </rPr>
          <t xml:space="preserve">
Anzahl Fahrten für mechanische Unkrautbekämpfung</t>
        </r>
      </text>
    </comment>
    <comment ref="C158" authorId="0" shapeId="0" xr:uid="{00000000-0006-0000-0600-00000D000000}">
      <text>
        <r>
          <rPr>
            <sz val="10"/>
            <color indexed="81"/>
            <rFont val="Tahoma"/>
            <family val="2"/>
          </rPr>
          <t>Diese Angaben sind inklusiv zB. Spritzen füllen,vorbereiten der Maschinen, wenden usw.</t>
        </r>
      </text>
    </comment>
    <comment ref="D158" authorId="2" shapeId="0" xr:uid="{00000000-0006-0000-0600-00000E000000}">
      <text>
        <r>
          <rPr>
            <sz val="10"/>
            <color indexed="81"/>
            <rFont val="Tahoma"/>
            <family val="2"/>
          </rPr>
          <t>Fr./Durchgang = Fr./ha , weil Arbokost die Kosten für 1 ha ausweist
FAT-Ansätze für fixe+variable Kosten</t>
        </r>
      </text>
    </comment>
    <comment ref="C160" authorId="1" shapeId="0" xr:uid="{AC7B47C8-DEAC-402D-8469-388D766BA127}">
      <text>
        <r>
          <rPr>
            <b/>
            <sz val="9"/>
            <color indexed="81"/>
            <rFont val="Segoe UI"/>
            <family val="2"/>
          </rPr>
          <t>Prevost Martina:</t>
        </r>
        <r>
          <rPr>
            <sz val="9"/>
            <color indexed="81"/>
            <rFont val="Segoe UI"/>
            <family val="2"/>
          </rPr>
          <t xml:space="preserve">
h/ha</t>
        </r>
      </text>
    </comment>
    <comment ref="D160" authorId="1" shapeId="0" xr:uid="{6C519106-51AB-485B-B864-8AB48E7BE016}">
      <text>
        <r>
          <rPr>
            <b/>
            <sz val="9"/>
            <color indexed="81"/>
            <rFont val="Segoe UI"/>
            <family val="2"/>
          </rPr>
          <t>Prevost Martina:</t>
        </r>
        <r>
          <rPr>
            <sz val="9"/>
            <color indexed="81"/>
            <rFont val="Segoe UI"/>
            <family val="2"/>
          </rPr>
          <t xml:space="preserve">
Fr./h</t>
        </r>
      </text>
    </comment>
    <comment ref="I160" authorId="1" shapeId="0" xr:uid="{3F3CCFAD-7B1C-4DC0-BC14-3B9EDF2BA001}">
      <text>
        <r>
          <rPr>
            <b/>
            <sz val="9"/>
            <color indexed="81"/>
            <rFont val="Segoe UI"/>
            <family val="2"/>
          </rPr>
          <t>Prevost Martina:</t>
        </r>
        <r>
          <rPr>
            <sz val="9"/>
            <color indexed="81"/>
            <rFont val="Segoe UI"/>
            <family val="2"/>
          </rPr>
          <t xml:space="preserve">
Fr./h</t>
        </r>
      </text>
    </comment>
    <comment ref="C162" authorId="1" shapeId="0" xr:uid="{1F4F5BB4-101C-4728-BA9F-476760AC6DE3}">
      <text>
        <r>
          <rPr>
            <b/>
            <sz val="9"/>
            <color indexed="81"/>
            <rFont val="Segoe UI"/>
            <family val="2"/>
          </rPr>
          <t>Prevost Martina:</t>
        </r>
        <r>
          <rPr>
            <sz val="9"/>
            <color indexed="81"/>
            <rFont val="Segoe UI"/>
            <family val="2"/>
          </rPr>
          <t xml:space="preserve">
2.6 Fu/h</t>
        </r>
      </text>
    </comment>
    <comment ref="D162" authorId="1" shapeId="0" xr:uid="{E9BEE9E5-C946-472E-AF9B-400B3F53A583}">
      <text>
        <r>
          <rPr>
            <b/>
            <sz val="9"/>
            <color indexed="81"/>
            <rFont val="Segoe UI"/>
            <family val="2"/>
          </rPr>
          <t>Prevost Martina:</t>
        </r>
        <r>
          <rPr>
            <sz val="9"/>
            <color indexed="81"/>
            <rFont val="Segoe UI"/>
            <family val="2"/>
          </rPr>
          <t xml:space="preserve">
Fr./Fu</t>
        </r>
      </text>
    </comment>
    <comment ref="H162" authorId="1" shapeId="0" xr:uid="{71CB117B-B440-40CE-8ADD-11852B08B57D}">
      <text>
        <r>
          <rPr>
            <b/>
            <sz val="9"/>
            <color indexed="81"/>
            <rFont val="Segoe UI"/>
            <family val="2"/>
          </rPr>
          <t>Prevost Martina:</t>
        </r>
        <r>
          <rPr>
            <sz val="9"/>
            <color indexed="81"/>
            <rFont val="Segoe UI"/>
            <family val="2"/>
          </rPr>
          <t xml:space="preserve">
Fr./Fu</t>
        </r>
      </text>
    </comment>
    <comment ref="I162" authorId="1" shapeId="0" xr:uid="{F32ABA85-2B12-45F9-B96C-4905B1E24A8E}">
      <text>
        <r>
          <rPr>
            <b/>
            <sz val="9"/>
            <color indexed="81"/>
            <rFont val="Segoe UI"/>
            <family val="2"/>
          </rPr>
          <t>Prevost Martina:</t>
        </r>
        <r>
          <rPr>
            <sz val="9"/>
            <color indexed="81"/>
            <rFont val="Segoe UI"/>
            <family val="2"/>
          </rPr>
          <t xml:space="preserve">
Fr./Fu</t>
        </r>
      </text>
    </comment>
    <comment ref="D165" authorId="1" shapeId="0" xr:uid="{010CECE4-D982-49D8-8A3C-6377AABBC3FC}">
      <text>
        <r>
          <rPr>
            <b/>
            <sz val="9"/>
            <color indexed="81"/>
            <rFont val="Segoe UI"/>
            <family val="2"/>
          </rPr>
          <t>Prevost Martina:</t>
        </r>
        <r>
          <rPr>
            <sz val="9"/>
            <color indexed="81"/>
            <rFont val="Segoe UI"/>
            <family val="2"/>
          </rPr>
          <t xml:space="preserve">
Fr./h</t>
        </r>
      </text>
    </comment>
    <comment ref="I165" authorId="1" shapeId="0" xr:uid="{0239BC62-F89B-4AB7-B7CD-C7B918F994E9}">
      <text>
        <r>
          <rPr>
            <b/>
            <sz val="9"/>
            <color indexed="81"/>
            <rFont val="Segoe UI"/>
            <family val="2"/>
          </rPr>
          <t>Prevost Martina:</t>
        </r>
        <r>
          <rPr>
            <sz val="9"/>
            <color indexed="81"/>
            <rFont val="Segoe UI"/>
            <family val="2"/>
          </rPr>
          <t xml:space="preserve">
Fr./h</t>
        </r>
      </text>
    </comment>
    <comment ref="C168" authorId="1" shapeId="0" xr:uid="{4278937E-F5C6-488C-A530-A02504A2A8BC}">
      <text>
        <r>
          <rPr>
            <b/>
            <sz val="9"/>
            <color indexed="81"/>
            <rFont val="Segoe UI"/>
            <family val="2"/>
          </rPr>
          <t>Prevost Martina:</t>
        </r>
        <r>
          <rPr>
            <sz val="9"/>
            <color indexed="81"/>
            <rFont val="Segoe UI"/>
            <family val="2"/>
          </rPr>
          <t xml:space="preserve">
für Folienmontage und Schnitt</t>
        </r>
      </text>
    </comment>
    <comment ref="D168" authorId="1" shapeId="0" xr:uid="{05710CFF-F340-43FC-9662-C8D9AA2BE02A}">
      <text>
        <r>
          <rPr>
            <b/>
            <sz val="9"/>
            <color indexed="81"/>
            <rFont val="Segoe UI"/>
            <family val="2"/>
          </rPr>
          <t>Prevost Martina:</t>
        </r>
        <r>
          <rPr>
            <sz val="9"/>
            <color indexed="81"/>
            <rFont val="Segoe UI"/>
            <family val="2"/>
          </rPr>
          <t xml:space="preserve">
Fr./h</t>
        </r>
      </text>
    </comment>
    <comment ref="H168" authorId="1" shapeId="0" xr:uid="{3BA5E7AA-A6C4-4233-8BB9-0FE43F855121}">
      <text>
        <r>
          <rPr>
            <b/>
            <sz val="9"/>
            <color indexed="81"/>
            <rFont val="Segoe UI"/>
            <family val="2"/>
          </rPr>
          <t>Prevost Martina:</t>
        </r>
        <r>
          <rPr>
            <sz val="9"/>
            <color indexed="81"/>
            <rFont val="Segoe UI"/>
            <family val="2"/>
          </rPr>
          <t xml:space="preserve">
Fr./h</t>
        </r>
      </text>
    </comment>
    <comment ref="I168" authorId="1" shapeId="0" xr:uid="{EFD67B2F-4AE7-41C0-898A-2230686D2B13}">
      <text>
        <r>
          <rPr>
            <b/>
            <sz val="9"/>
            <color indexed="81"/>
            <rFont val="Segoe UI"/>
            <family val="2"/>
          </rPr>
          <t>Prevost Martina:</t>
        </r>
        <r>
          <rPr>
            <sz val="9"/>
            <color indexed="81"/>
            <rFont val="Segoe UI"/>
            <family val="2"/>
          </rPr>
          <t xml:space="preserve">
Fr./h</t>
        </r>
      </text>
    </comment>
    <comment ref="F182" authorId="1" shapeId="0" xr:uid="{4C23F825-7CDD-4A78-9BBF-93AFAB7846A7}">
      <text>
        <r>
          <rPr>
            <b/>
            <sz val="9"/>
            <color indexed="81"/>
            <rFont val="Segoe UI"/>
            <family val="2"/>
          </rPr>
          <t>Prevost Martina:</t>
        </r>
        <r>
          <rPr>
            <sz val="9"/>
            <color indexed="81"/>
            <rFont val="Segoe UI"/>
            <family val="2"/>
          </rPr>
          <t xml:space="preserve">
Bäume noch nicht abgedeckt</t>
        </r>
      </text>
    </comment>
    <comment ref="F183" authorId="1" shapeId="0" xr:uid="{2EC1E38F-A3EA-4CE0-9970-42FD6BD6EDB4}">
      <text>
        <r>
          <rPr>
            <b/>
            <sz val="9"/>
            <color indexed="81"/>
            <rFont val="Segoe UI"/>
            <family val="2"/>
          </rPr>
          <t>Prevost Martina:</t>
        </r>
        <r>
          <rPr>
            <sz val="9"/>
            <color indexed="81"/>
            <rFont val="Segoe UI"/>
            <family val="2"/>
          </rPr>
          <t xml:space="preserve">
Bewässerung von Anfang April bis Ende Juli da Kultur abgedeckt (ca. 18 Wochen)</t>
        </r>
      </text>
    </comment>
    <comment ref="E184" authorId="4" shapeId="0" xr:uid="{00000000-0006-0000-0600-000012000000}">
      <text>
        <r>
          <rPr>
            <b/>
            <sz val="9"/>
            <color indexed="81"/>
            <rFont val="Segoe UI"/>
            <family val="2"/>
          </rPr>
          <t>Louw-Prevost Martina AGROSCOPE:</t>
        </r>
        <r>
          <rPr>
            <sz val="9"/>
            <color indexed="81"/>
            <rFont val="Segoe UI"/>
            <family val="2"/>
          </rPr>
          <t xml:space="preserve">
Braucht keinen Strom, weil meistens aus dem Wassernetz &amp; Steuerung via Magnetventile kann mit Batterien betrieben werden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 Mouron</author>
    <author>Prevost Martina</author>
    <author>FAW</author>
  </authors>
  <commentList>
    <comment ref="F13" authorId="0" shapeId="0" xr:uid="{00000000-0006-0000-0700-000001000000}">
      <text>
        <r>
          <rPr>
            <sz val="8"/>
            <color indexed="81"/>
            <rFont val="Tahoma"/>
            <family val="2"/>
          </rPr>
          <t xml:space="preserve">
Traktor mit Normalspur möglich</t>
        </r>
      </text>
    </comment>
    <comment ref="C55" authorId="0" shapeId="0" xr:uid="{00000000-0006-0000-0700-000003000000}">
      <text>
        <r>
          <rPr>
            <sz val="8"/>
            <color indexed="81"/>
            <rFont val="Tahoma"/>
            <family val="2"/>
          </rPr>
          <t xml:space="preserve">
Faustregel: 10 % der Arbeit</t>
        </r>
      </text>
    </comment>
    <comment ref="E62" authorId="1" shapeId="0" xr:uid="{BB1037C9-C126-44F6-B738-84A69F4C8701}">
      <text>
        <r>
          <rPr>
            <b/>
            <sz val="9"/>
            <color indexed="81"/>
            <rFont val="Segoe UI"/>
            <family val="2"/>
          </rPr>
          <t>Prevost Martina:</t>
        </r>
        <r>
          <rPr>
            <sz val="9"/>
            <color indexed="81"/>
            <rFont val="Segoe UI"/>
            <family val="2"/>
          </rPr>
          <t xml:space="preserve">
Mwst-Satz 8.10 %</t>
        </r>
      </text>
    </comment>
    <comment ref="B70" authorId="1" shapeId="0" xr:uid="{F8F6CEFC-3CC8-4B72-A6F0-6FC9B3158D1B}">
      <text>
        <r>
          <rPr>
            <b/>
            <sz val="9"/>
            <color indexed="81"/>
            <rFont val="Segoe UI"/>
            <family val="2"/>
          </rPr>
          <t>Prevost Martina:</t>
        </r>
        <r>
          <rPr>
            <sz val="9"/>
            <color indexed="81"/>
            <rFont val="Segoe UI"/>
            <family val="2"/>
          </rPr>
          <t xml:space="preserve">
für Betonpfähle, mit Chauffeur</t>
        </r>
      </text>
    </comment>
    <comment ref="E70" authorId="1" shapeId="0" xr:uid="{8B6D2789-5477-48C0-BA14-DF66BB2C81F1}">
      <text>
        <r>
          <rPr>
            <b/>
            <sz val="9"/>
            <color indexed="81"/>
            <rFont val="Segoe UI"/>
            <family val="2"/>
          </rPr>
          <t>Prevost Martina:</t>
        </r>
        <r>
          <rPr>
            <sz val="9"/>
            <color indexed="81"/>
            <rFont val="Segoe UI"/>
            <family val="2"/>
          </rPr>
          <t xml:space="preserve">
500.-  Kosten für Anreise</t>
        </r>
      </text>
    </comment>
    <comment ref="A82" authorId="2" shapeId="0" xr:uid="{00000000-0006-0000-0700-000013000000}">
      <text>
        <r>
          <rPr>
            <sz val="8"/>
            <color indexed="81"/>
            <rFont val="Tahoma"/>
            <family val="2"/>
          </rPr>
          <t>Exklusiv: Pumpe
Kosten der Bewässerungsanlage innerhalb der Parzelle (ohne den Weg der Anlage bis zur Parzelle da sehr individuell)</t>
        </r>
      </text>
    </comment>
    <comment ref="F82" authorId="1" shapeId="0" xr:uid="{8A4AFAD5-152B-4B9F-A75E-3C6886EE5119}">
      <text>
        <r>
          <rPr>
            <b/>
            <sz val="9"/>
            <color indexed="81"/>
            <rFont val="Segoe UI"/>
            <family val="2"/>
          </rPr>
          <t>Prevost Martina:</t>
        </r>
        <r>
          <rPr>
            <sz val="9"/>
            <color indexed="81"/>
            <rFont val="Segoe UI"/>
            <family val="2"/>
          </rPr>
          <t xml:space="preserve">
Mwst-Satz 8.10 %</t>
        </r>
      </text>
    </comment>
    <comment ref="D88" authorId="2" shapeId="0" xr:uid="{00000000-0006-0000-0700-000014000000}">
      <text>
        <r>
          <rPr>
            <sz val="8"/>
            <color indexed="81"/>
            <rFont val="Tahoma"/>
            <family val="2"/>
          </rPr>
          <t xml:space="preserve">Bei Tropfschlauchanlage ca. 80 h </t>
        </r>
      </text>
    </comment>
    <comment ref="C110" authorId="1" shapeId="0" xr:uid="{38B21636-4A69-42E8-B17D-7C3EE00FDAEC}">
      <text>
        <r>
          <rPr>
            <b/>
            <sz val="9"/>
            <color indexed="81"/>
            <rFont val="Segoe UI"/>
            <family val="2"/>
          </rPr>
          <t>Prevost Martina:</t>
        </r>
        <r>
          <rPr>
            <sz val="9"/>
            <color indexed="81"/>
            <rFont val="Segoe UI"/>
            <family val="2"/>
          </rPr>
          <t xml:space="preserve">
1 x Personeneingang
1 x Maschineneingang</t>
        </r>
      </text>
    </comment>
    <comment ref="D114" authorId="1" shapeId="0" xr:uid="{326F9B82-4048-4110-9A36-9132DD34243F}">
      <text>
        <r>
          <rPr>
            <b/>
            <sz val="9"/>
            <color indexed="81"/>
            <rFont val="Segoe UI"/>
            <family val="2"/>
          </rPr>
          <t>Prevost Martina:</t>
        </r>
        <r>
          <rPr>
            <sz val="9"/>
            <color indexed="81"/>
            <rFont val="Segoe UI"/>
            <family val="2"/>
          </rPr>
          <t xml:space="preserve">
während 1/3 der Arbeitszeit im Einsatz</t>
        </r>
      </text>
    </comment>
    <comment ref="D116" authorId="1" shapeId="0" xr:uid="{30DF00D6-89CC-46B8-A0C6-2C2091377940}">
      <text>
        <r>
          <rPr>
            <b/>
            <sz val="9"/>
            <color indexed="81"/>
            <rFont val="Segoe UI"/>
            <family val="2"/>
          </rPr>
          <t>Prevost Martina:</t>
        </r>
        <r>
          <rPr>
            <sz val="9"/>
            <color indexed="81"/>
            <rFont val="Segoe UI"/>
            <family val="2"/>
          </rPr>
          <t xml:space="preserve">
während 1/3 der Arbeitszeit im Einsatz</t>
        </r>
      </text>
    </comment>
    <comment ref="D138" authorId="1" shapeId="0" xr:uid="{0049E80F-2972-4670-9A6A-4DCAF30D151B}">
      <text>
        <r>
          <rPr>
            <b/>
            <sz val="9"/>
            <color indexed="81"/>
            <rFont val="Segoe UI"/>
            <family val="2"/>
          </rPr>
          <t>Prevost Martina:</t>
        </r>
        <r>
          <rPr>
            <sz val="9"/>
            <color indexed="81"/>
            <rFont val="Segoe UI"/>
            <family val="2"/>
          </rPr>
          <t xml:space="preserve">
falls Hagenetz vorhanden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FAW</author>
    <author>Prevost Martina</author>
    <author>P. Mouron</author>
  </authors>
  <commentList>
    <comment ref="F5" authorId="0" shapeId="0" xr:uid="{00000000-0006-0000-0800-000001000000}">
      <text>
        <r>
          <rPr>
            <sz val="9"/>
            <color indexed="81"/>
            <rFont val="Tahoma"/>
            <family val="2"/>
          </rPr>
          <t>Diese Seite ist schreibgeschützt. Der Schutz kann aufgehoben werden mit dem Kennwort "Arbokost"</t>
        </r>
      </text>
    </comment>
    <comment ref="CL5" authorId="0" shapeId="0" xr:uid="{00000000-0006-0000-0800-000002000000}">
      <text>
        <r>
          <rPr>
            <sz val="9"/>
            <color indexed="81"/>
            <rFont val="Tahoma"/>
            <family val="2"/>
          </rPr>
          <t>P. Mouron: Diese Seite ist schreibgeschützt. Der Schutz kann aufgehoben werden mit dem Kennwort "Arbokost"</t>
        </r>
      </text>
    </comment>
    <comment ref="CZ5" authorId="0" shapeId="0" xr:uid="{00000000-0006-0000-0800-000003000000}">
      <text>
        <r>
          <rPr>
            <sz val="9"/>
            <color indexed="81"/>
            <rFont val="Tahoma"/>
            <family val="2"/>
          </rPr>
          <t>P. Mouron: Diese Seite ist schreibgeschützt. Der Schutz kann aufgehoben werden mit dem Kennwort "Arbokost"</t>
        </r>
      </text>
    </comment>
    <comment ref="B8" authorId="1" shapeId="0" xr:uid="{E9D77338-59D2-40E6-858C-C69641C265A7}">
      <text>
        <r>
          <rPr>
            <b/>
            <sz val="9"/>
            <color indexed="81"/>
            <rFont val="Segoe UI"/>
            <family val="2"/>
          </rPr>
          <t>Prevost Martina:</t>
        </r>
        <r>
          <rPr>
            <sz val="9"/>
            <color indexed="81"/>
            <rFont val="Segoe UI"/>
            <family val="2"/>
          </rPr>
          <t xml:space="preserve">
späte Sorten 24+ mm</t>
        </r>
      </text>
    </comment>
    <comment ref="I8" authorId="1" shapeId="0" xr:uid="{2E67AFC9-22A3-4ACD-84F3-47D763F35902}">
      <text>
        <r>
          <rPr>
            <b/>
            <sz val="9"/>
            <color indexed="81"/>
            <rFont val="Segoe UI"/>
            <family val="2"/>
          </rPr>
          <t>Prevost Martina:</t>
        </r>
        <r>
          <rPr>
            <sz val="9"/>
            <color indexed="81"/>
            <rFont val="Segoe UI"/>
            <family val="2"/>
          </rPr>
          <t xml:space="preserve">
späte Sorten 24+ mm</t>
        </r>
      </text>
    </comment>
    <comment ref="P8" authorId="1" shapeId="0" xr:uid="{6A43C704-6433-40A6-820C-B2F2485ECF36}">
      <text>
        <r>
          <rPr>
            <b/>
            <sz val="9"/>
            <color indexed="81"/>
            <rFont val="Segoe UI"/>
            <family val="2"/>
          </rPr>
          <t>Prevost Martina:</t>
        </r>
        <r>
          <rPr>
            <sz val="9"/>
            <color indexed="81"/>
            <rFont val="Segoe UI"/>
            <family val="2"/>
          </rPr>
          <t xml:space="preserve">
späte Sorten 24+ mm</t>
        </r>
      </text>
    </comment>
    <comment ref="W8" authorId="1" shapeId="0" xr:uid="{CEDBA4E0-DB22-407F-A040-F0FCDE5A53F2}">
      <text>
        <r>
          <rPr>
            <b/>
            <sz val="9"/>
            <color indexed="81"/>
            <rFont val="Segoe UI"/>
            <family val="2"/>
          </rPr>
          <t>Prevost Martina:</t>
        </r>
        <r>
          <rPr>
            <sz val="9"/>
            <color indexed="81"/>
            <rFont val="Segoe UI"/>
            <family val="2"/>
          </rPr>
          <t xml:space="preserve">
späte Sorten 24+ mm</t>
        </r>
      </text>
    </comment>
    <comment ref="AD8" authorId="1" shapeId="0" xr:uid="{E8123018-880D-4E60-A185-7CD3894EB4A7}">
      <text>
        <r>
          <rPr>
            <b/>
            <sz val="9"/>
            <color indexed="81"/>
            <rFont val="Segoe UI"/>
            <family val="2"/>
          </rPr>
          <t>Prevost Martina:</t>
        </r>
        <r>
          <rPr>
            <sz val="9"/>
            <color indexed="81"/>
            <rFont val="Segoe UI"/>
            <family val="2"/>
          </rPr>
          <t xml:space="preserve">
späte Sorten 24+ mm</t>
        </r>
      </text>
    </comment>
    <comment ref="AK8" authorId="1" shapeId="0" xr:uid="{6E568603-2F5A-4744-87F7-4AD1004EE427}">
      <text>
        <r>
          <rPr>
            <b/>
            <sz val="9"/>
            <color indexed="81"/>
            <rFont val="Segoe UI"/>
            <family val="2"/>
          </rPr>
          <t>Prevost Martina:</t>
        </r>
        <r>
          <rPr>
            <sz val="9"/>
            <color indexed="81"/>
            <rFont val="Segoe UI"/>
            <family val="2"/>
          </rPr>
          <t xml:space="preserve">
späte Sorten 24+ mm</t>
        </r>
      </text>
    </comment>
    <comment ref="AR8" authorId="1" shapeId="0" xr:uid="{13FD8FE8-A345-4799-ACD6-F2BCAAF5A39F}">
      <text>
        <r>
          <rPr>
            <b/>
            <sz val="9"/>
            <color indexed="81"/>
            <rFont val="Segoe UI"/>
            <family val="2"/>
          </rPr>
          <t>Prevost Martina:</t>
        </r>
        <r>
          <rPr>
            <sz val="9"/>
            <color indexed="81"/>
            <rFont val="Segoe UI"/>
            <family val="2"/>
          </rPr>
          <t xml:space="preserve">
späte Sorten 24+ mm</t>
        </r>
      </text>
    </comment>
    <comment ref="AY8" authorId="1" shapeId="0" xr:uid="{47F88473-AC56-4B5A-A0D5-7EF3C1FEDFC1}">
      <text>
        <r>
          <rPr>
            <b/>
            <sz val="9"/>
            <color indexed="81"/>
            <rFont val="Segoe UI"/>
            <family val="2"/>
          </rPr>
          <t>Prevost Martina:</t>
        </r>
        <r>
          <rPr>
            <sz val="9"/>
            <color indexed="81"/>
            <rFont val="Segoe UI"/>
            <family val="2"/>
          </rPr>
          <t xml:space="preserve">
späte Sorten 24+ mm</t>
        </r>
      </text>
    </comment>
    <comment ref="BF8" authorId="1" shapeId="0" xr:uid="{FC8EA479-8AE6-44FA-BFA0-69B24EDCD467}">
      <text>
        <r>
          <rPr>
            <b/>
            <sz val="9"/>
            <color indexed="81"/>
            <rFont val="Segoe UI"/>
            <family val="2"/>
          </rPr>
          <t>Prevost Martina:</t>
        </r>
        <r>
          <rPr>
            <sz val="9"/>
            <color indexed="81"/>
            <rFont val="Segoe UI"/>
            <family val="2"/>
          </rPr>
          <t xml:space="preserve">
späte Sorten 24+ mm</t>
        </r>
      </text>
    </comment>
    <comment ref="BM8" authorId="1" shapeId="0" xr:uid="{29B365A9-77BF-445F-88C2-3188286E6C55}">
      <text>
        <r>
          <rPr>
            <b/>
            <sz val="9"/>
            <color indexed="81"/>
            <rFont val="Segoe UI"/>
            <family val="2"/>
          </rPr>
          <t>Prevost Martina:</t>
        </r>
        <r>
          <rPr>
            <sz val="9"/>
            <color indexed="81"/>
            <rFont val="Segoe UI"/>
            <family val="2"/>
          </rPr>
          <t xml:space="preserve">
späte Sorten 24+ mm</t>
        </r>
      </text>
    </comment>
    <comment ref="BT8" authorId="1" shapeId="0" xr:uid="{089514FC-B5A9-427F-A0FC-493917206B01}">
      <text>
        <r>
          <rPr>
            <b/>
            <sz val="9"/>
            <color indexed="81"/>
            <rFont val="Segoe UI"/>
            <family val="2"/>
          </rPr>
          <t>Prevost Martina:</t>
        </r>
        <r>
          <rPr>
            <sz val="9"/>
            <color indexed="81"/>
            <rFont val="Segoe UI"/>
            <family val="2"/>
          </rPr>
          <t xml:space="preserve">
späte Sorten 24+ mm</t>
        </r>
      </text>
    </comment>
    <comment ref="CA8" authorId="1" shapeId="0" xr:uid="{FBA12690-F638-422D-AD29-1F563854C268}">
      <text>
        <r>
          <rPr>
            <b/>
            <sz val="9"/>
            <color indexed="81"/>
            <rFont val="Segoe UI"/>
            <family val="2"/>
          </rPr>
          <t>Prevost Martina:</t>
        </r>
        <r>
          <rPr>
            <sz val="9"/>
            <color indexed="81"/>
            <rFont val="Segoe UI"/>
            <family val="2"/>
          </rPr>
          <t xml:space="preserve">
späte Sorten 24+ mm</t>
        </r>
      </text>
    </comment>
    <comment ref="CH8" authorId="1" shapeId="0" xr:uid="{A00672FF-6EAC-4768-ADB2-4910627215A6}">
      <text>
        <r>
          <rPr>
            <b/>
            <sz val="9"/>
            <color indexed="81"/>
            <rFont val="Segoe UI"/>
            <family val="2"/>
          </rPr>
          <t>Prevost Martina:</t>
        </r>
        <r>
          <rPr>
            <sz val="9"/>
            <color indexed="81"/>
            <rFont val="Segoe UI"/>
            <family val="2"/>
          </rPr>
          <t xml:space="preserve">
späte Sorten 24+ mm</t>
        </r>
      </text>
    </comment>
    <comment ref="CO8" authorId="1" shapeId="0" xr:uid="{55E8C8D6-CB5A-45B9-A738-8F452BA63999}">
      <text>
        <r>
          <rPr>
            <b/>
            <sz val="9"/>
            <color indexed="81"/>
            <rFont val="Segoe UI"/>
            <family val="2"/>
          </rPr>
          <t>Prevost Martina:</t>
        </r>
        <r>
          <rPr>
            <sz val="9"/>
            <color indexed="81"/>
            <rFont val="Segoe UI"/>
            <family val="2"/>
          </rPr>
          <t xml:space="preserve">
späte Sorten 24+ mm</t>
        </r>
      </text>
    </comment>
    <comment ref="CV8" authorId="1" shapeId="0" xr:uid="{F7D62DD8-AA81-4A2C-975D-52B0FD9F75FB}">
      <text>
        <r>
          <rPr>
            <b/>
            <sz val="9"/>
            <color indexed="81"/>
            <rFont val="Segoe UI"/>
            <family val="2"/>
          </rPr>
          <t>Prevost Martina:</t>
        </r>
        <r>
          <rPr>
            <sz val="9"/>
            <color indexed="81"/>
            <rFont val="Segoe UI"/>
            <family val="2"/>
          </rPr>
          <t xml:space="preserve">
späte Sorten 24+ mm</t>
        </r>
      </text>
    </comment>
    <comment ref="DC8" authorId="1" shapeId="0" xr:uid="{1ED234AE-F0B2-4361-9C9C-37F306EB66DC}">
      <text>
        <r>
          <rPr>
            <b/>
            <sz val="9"/>
            <color indexed="81"/>
            <rFont val="Segoe UI"/>
            <family val="2"/>
          </rPr>
          <t>Prevost Martina:</t>
        </r>
        <r>
          <rPr>
            <sz val="9"/>
            <color indexed="81"/>
            <rFont val="Segoe UI"/>
            <family val="2"/>
          </rPr>
          <t xml:space="preserve">
späte Sorten 24+ mm</t>
        </r>
      </text>
    </comment>
    <comment ref="C14" authorId="2" shapeId="0" xr:uid="{00000000-0006-0000-0800-000004000000}">
      <text>
        <r>
          <rPr>
            <sz val="8"/>
            <color indexed="81"/>
            <rFont val="Tahoma"/>
            <family val="2"/>
          </rPr>
          <t>keine düngung verrechnet, weil Dünger von erstellung teilweise während dem  1. Standjahr verabreicht wird.</t>
        </r>
      </text>
    </comment>
    <comment ref="D15" authorId="1" shapeId="0" xr:uid="{C9D9D60C-C997-4CA0-A33C-7B1D489E012B}">
      <text>
        <r>
          <rPr>
            <b/>
            <sz val="9"/>
            <color indexed="81"/>
            <rFont val="Segoe UI"/>
            <family val="2"/>
          </rPr>
          <t>Prevost Martina:</t>
        </r>
        <r>
          <rPr>
            <sz val="9"/>
            <color indexed="81"/>
            <rFont val="Segoe UI"/>
            <family val="2"/>
          </rPr>
          <t xml:space="preserve">
Total pro ha und Jahr</t>
        </r>
      </text>
    </comment>
    <comment ref="K15" authorId="1" shapeId="0" xr:uid="{F11F7572-2016-47AE-BCB6-05CBD3D68CB3}">
      <text>
        <r>
          <rPr>
            <b/>
            <sz val="9"/>
            <color indexed="81"/>
            <rFont val="Segoe UI"/>
            <family val="2"/>
          </rPr>
          <t>Prevost Martina:</t>
        </r>
        <r>
          <rPr>
            <sz val="9"/>
            <color indexed="81"/>
            <rFont val="Segoe UI"/>
            <family val="2"/>
          </rPr>
          <t xml:space="preserve">
Total pro ha und Jahr</t>
        </r>
      </text>
    </comment>
    <comment ref="R15" authorId="1" shapeId="0" xr:uid="{FDAF103A-E9EE-48E6-A57E-48D9F2426B09}">
      <text>
        <r>
          <rPr>
            <b/>
            <sz val="9"/>
            <color indexed="81"/>
            <rFont val="Segoe UI"/>
            <family val="2"/>
          </rPr>
          <t>Prevost Martina:</t>
        </r>
        <r>
          <rPr>
            <sz val="9"/>
            <color indexed="81"/>
            <rFont val="Segoe UI"/>
            <family val="2"/>
          </rPr>
          <t xml:space="preserve">
Total pro ha und Jahr</t>
        </r>
      </text>
    </comment>
    <comment ref="Y15" authorId="1" shapeId="0" xr:uid="{F0000F16-CA3F-4A02-BA57-0ECCEDAF9557}">
      <text>
        <r>
          <rPr>
            <b/>
            <sz val="9"/>
            <color indexed="81"/>
            <rFont val="Segoe UI"/>
            <family val="2"/>
          </rPr>
          <t>Prevost Martina:</t>
        </r>
        <r>
          <rPr>
            <sz val="9"/>
            <color indexed="81"/>
            <rFont val="Segoe UI"/>
            <family val="2"/>
          </rPr>
          <t xml:space="preserve">
Total pro ha und Jahr</t>
        </r>
      </text>
    </comment>
    <comment ref="AF15" authorId="1" shapeId="0" xr:uid="{109A1CFC-322D-4E4F-ADC0-788C9A90C0C6}">
      <text>
        <r>
          <rPr>
            <b/>
            <sz val="9"/>
            <color indexed="81"/>
            <rFont val="Segoe UI"/>
            <family val="2"/>
          </rPr>
          <t>Prevost Martina:</t>
        </r>
        <r>
          <rPr>
            <sz val="9"/>
            <color indexed="81"/>
            <rFont val="Segoe UI"/>
            <family val="2"/>
          </rPr>
          <t xml:space="preserve">
Total pro ha und Jahr</t>
        </r>
      </text>
    </comment>
    <comment ref="AM15" authorId="1" shapeId="0" xr:uid="{A372A44F-37D3-4334-B9F1-342358DE9C71}">
      <text>
        <r>
          <rPr>
            <b/>
            <sz val="9"/>
            <color indexed="81"/>
            <rFont val="Segoe UI"/>
            <family val="2"/>
          </rPr>
          <t>Prevost Martina:</t>
        </r>
        <r>
          <rPr>
            <sz val="9"/>
            <color indexed="81"/>
            <rFont val="Segoe UI"/>
            <family val="2"/>
          </rPr>
          <t xml:space="preserve">
Total pro ha und Jahr</t>
        </r>
      </text>
    </comment>
    <comment ref="AT15" authorId="1" shapeId="0" xr:uid="{46E54F33-F8BE-44D2-AA2B-2E13DDBA21C3}">
      <text>
        <r>
          <rPr>
            <b/>
            <sz val="9"/>
            <color indexed="81"/>
            <rFont val="Segoe UI"/>
            <family val="2"/>
          </rPr>
          <t>Prevost Martina:</t>
        </r>
        <r>
          <rPr>
            <sz val="9"/>
            <color indexed="81"/>
            <rFont val="Segoe UI"/>
            <family val="2"/>
          </rPr>
          <t xml:space="preserve">
Total pro ha und Jahr</t>
        </r>
      </text>
    </comment>
    <comment ref="BA15" authorId="1" shapeId="0" xr:uid="{35C5F20B-788E-4004-99F2-E99F54EB8469}">
      <text>
        <r>
          <rPr>
            <b/>
            <sz val="9"/>
            <color indexed="81"/>
            <rFont val="Segoe UI"/>
            <family val="2"/>
          </rPr>
          <t>Prevost Martina:</t>
        </r>
        <r>
          <rPr>
            <sz val="9"/>
            <color indexed="81"/>
            <rFont val="Segoe UI"/>
            <family val="2"/>
          </rPr>
          <t xml:space="preserve">
Total pro ha und Jahr</t>
        </r>
      </text>
    </comment>
    <comment ref="BH15" authorId="1" shapeId="0" xr:uid="{985EC7CA-4958-4527-879E-A1D86621ED4F}">
      <text>
        <r>
          <rPr>
            <b/>
            <sz val="9"/>
            <color indexed="81"/>
            <rFont val="Segoe UI"/>
            <family val="2"/>
          </rPr>
          <t>Prevost Martina:</t>
        </r>
        <r>
          <rPr>
            <sz val="9"/>
            <color indexed="81"/>
            <rFont val="Segoe UI"/>
            <family val="2"/>
          </rPr>
          <t xml:space="preserve">
Total pro ha und Jahr</t>
        </r>
      </text>
    </comment>
    <comment ref="BO15" authorId="1" shapeId="0" xr:uid="{DC409BC9-62A7-4FF8-B8FB-5439598A3A0D}">
      <text>
        <r>
          <rPr>
            <b/>
            <sz val="9"/>
            <color indexed="81"/>
            <rFont val="Segoe UI"/>
            <family val="2"/>
          </rPr>
          <t>Prevost Martina:</t>
        </r>
        <r>
          <rPr>
            <sz val="9"/>
            <color indexed="81"/>
            <rFont val="Segoe UI"/>
            <family val="2"/>
          </rPr>
          <t xml:space="preserve">
Total pro ha und Jahr</t>
        </r>
      </text>
    </comment>
    <comment ref="BV15" authorId="1" shapeId="0" xr:uid="{3442CF69-8303-4D6D-AC16-6BCFAC79039E}">
      <text>
        <r>
          <rPr>
            <b/>
            <sz val="9"/>
            <color indexed="81"/>
            <rFont val="Segoe UI"/>
            <family val="2"/>
          </rPr>
          <t>Prevost Martina:</t>
        </r>
        <r>
          <rPr>
            <sz val="9"/>
            <color indexed="81"/>
            <rFont val="Segoe UI"/>
            <family val="2"/>
          </rPr>
          <t xml:space="preserve">
Total pro ha und Jahr</t>
        </r>
      </text>
    </comment>
    <comment ref="CC15" authorId="1" shapeId="0" xr:uid="{7F7EDA4C-18DB-436C-88D4-9234FA9E99A7}">
      <text>
        <r>
          <rPr>
            <b/>
            <sz val="9"/>
            <color indexed="81"/>
            <rFont val="Segoe UI"/>
            <family val="2"/>
          </rPr>
          <t>Prevost Martina:</t>
        </r>
        <r>
          <rPr>
            <sz val="9"/>
            <color indexed="81"/>
            <rFont val="Segoe UI"/>
            <family val="2"/>
          </rPr>
          <t xml:space="preserve">
Total pro ha und Jahr</t>
        </r>
      </text>
    </comment>
    <comment ref="CJ15" authorId="1" shapeId="0" xr:uid="{BF74ABF2-1E2D-43A1-AFE1-1DBB51CFB41F}">
      <text>
        <r>
          <rPr>
            <b/>
            <sz val="9"/>
            <color indexed="81"/>
            <rFont val="Segoe UI"/>
            <family val="2"/>
          </rPr>
          <t>Prevost Martina:</t>
        </r>
        <r>
          <rPr>
            <sz val="9"/>
            <color indexed="81"/>
            <rFont val="Segoe UI"/>
            <family val="2"/>
          </rPr>
          <t xml:space="preserve">
Total pro ha und Jahr</t>
        </r>
      </text>
    </comment>
    <comment ref="CQ15" authorId="1" shapeId="0" xr:uid="{0C641F07-1030-4147-90CD-6344BC779D81}">
      <text>
        <r>
          <rPr>
            <b/>
            <sz val="9"/>
            <color indexed="81"/>
            <rFont val="Segoe UI"/>
            <family val="2"/>
          </rPr>
          <t>Prevost Martina:</t>
        </r>
        <r>
          <rPr>
            <sz val="9"/>
            <color indexed="81"/>
            <rFont val="Segoe UI"/>
            <family val="2"/>
          </rPr>
          <t xml:space="preserve">
Total pro ha und Jahr</t>
        </r>
      </text>
    </comment>
    <comment ref="CX15" authorId="1" shapeId="0" xr:uid="{F43908DF-3F0E-42C0-9AEE-C5D80E1FE59A}">
      <text>
        <r>
          <rPr>
            <b/>
            <sz val="9"/>
            <color indexed="81"/>
            <rFont val="Segoe UI"/>
            <family val="2"/>
          </rPr>
          <t>Prevost Martina:</t>
        </r>
        <r>
          <rPr>
            <sz val="9"/>
            <color indexed="81"/>
            <rFont val="Segoe UI"/>
            <family val="2"/>
          </rPr>
          <t xml:space="preserve">
Total pro ha und Jahr</t>
        </r>
      </text>
    </comment>
    <comment ref="DE15" authorId="1" shapeId="0" xr:uid="{C49461D9-B2E4-4AFE-BCEF-6C8A5FD53707}">
      <text>
        <r>
          <rPr>
            <b/>
            <sz val="9"/>
            <color indexed="81"/>
            <rFont val="Segoe UI"/>
            <family val="2"/>
          </rPr>
          <t>Prevost Martina:</t>
        </r>
        <r>
          <rPr>
            <sz val="9"/>
            <color indexed="81"/>
            <rFont val="Segoe UI"/>
            <family val="2"/>
          </rPr>
          <t xml:space="preserve">
Total pro ha und Jahr</t>
        </r>
      </text>
    </comment>
    <comment ref="D16" authorId="1" shapeId="0" xr:uid="{B128498D-BDD0-4043-9BBF-F714763BF8AB}">
      <text>
        <r>
          <rPr>
            <b/>
            <sz val="9"/>
            <color indexed="81"/>
            <rFont val="Segoe UI"/>
            <family val="2"/>
          </rPr>
          <t>Prevost Martina:</t>
        </r>
        <r>
          <rPr>
            <sz val="9"/>
            <color indexed="81"/>
            <rFont val="Segoe UI"/>
            <family val="2"/>
          </rPr>
          <t xml:space="preserve">
Total pro ha und Jahr</t>
        </r>
      </text>
    </comment>
    <comment ref="K16" authorId="1" shapeId="0" xr:uid="{3D9E9DD7-34D0-4783-8215-43CC2DFD0027}">
      <text>
        <r>
          <rPr>
            <b/>
            <sz val="9"/>
            <color indexed="81"/>
            <rFont val="Segoe UI"/>
            <family val="2"/>
          </rPr>
          <t>Prevost Martina:</t>
        </r>
        <r>
          <rPr>
            <sz val="9"/>
            <color indexed="81"/>
            <rFont val="Segoe UI"/>
            <family val="2"/>
          </rPr>
          <t xml:space="preserve">
Total pro ha und Jahr</t>
        </r>
      </text>
    </comment>
    <comment ref="R16" authorId="1" shapeId="0" xr:uid="{F2128E26-F650-4B30-A9C4-73D8BEE845F1}">
      <text>
        <r>
          <rPr>
            <b/>
            <sz val="9"/>
            <color indexed="81"/>
            <rFont val="Segoe UI"/>
            <family val="2"/>
          </rPr>
          <t>Prevost Martina:</t>
        </r>
        <r>
          <rPr>
            <sz val="9"/>
            <color indexed="81"/>
            <rFont val="Segoe UI"/>
            <family val="2"/>
          </rPr>
          <t xml:space="preserve">
Total pro ha und Jahr</t>
        </r>
      </text>
    </comment>
    <comment ref="Y16" authorId="1" shapeId="0" xr:uid="{F98E51C4-8D9B-4BE3-9740-FF907ED606F3}">
      <text>
        <r>
          <rPr>
            <b/>
            <sz val="9"/>
            <color indexed="81"/>
            <rFont val="Segoe UI"/>
            <family val="2"/>
          </rPr>
          <t>Prevost Martina:</t>
        </r>
        <r>
          <rPr>
            <sz val="9"/>
            <color indexed="81"/>
            <rFont val="Segoe UI"/>
            <family val="2"/>
          </rPr>
          <t xml:space="preserve">
Total pro ha und Jahr</t>
        </r>
      </text>
    </comment>
    <comment ref="AF16" authorId="1" shapeId="0" xr:uid="{D04268C0-BEFE-4A30-B1DB-A7FEFA84E629}">
      <text>
        <r>
          <rPr>
            <b/>
            <sz val="9"/>
            <color indexed="81"/>
            <rFont val="Segoe UI"/>
            <family val="2"/>
          </rPr>
          <t>Prevost Martina:</t>
        </r>
        <r>
          <rPr>
            <sz val="9"/>
            <color indexed="81"/>
            <rFont val="Segoe UI"/>
            <family val="2"/>
          </rPr>
          <t xml:space="preserve">
Total pro ha und Jahr</t>
        </r>
      </text>
    </comment>
    <comment ref="AM16" authorId="1" shapeId="0" xr:uid="{A88478A4-AA15-41EA-A45B-89BD70184A39}">
      <text>
        <r>
          <rPr>
            <b/>
            <sz val="9"/>
            <color indexed="81"/>
            <rFont val="Segoe UI"/>
            <family val="2"/>
          </rPr>
          <t>Prevost Martina:</t>
        </r>
        <r>
          <rPr>
            <sz val="9"/>
            <color indexed="81"/>
            <rFont val="Segoe UI"/>
            <family val="2"/>
          </rPr>
          <t xml:space="preserve">
Total pro ha und Jahr</t>
        </r>
      </text>
    </comment>
    <comment ref="AT16" authorId="1" shapeId="0" xr:uid="{BD7EC707-B191-45D3-9F36-2214F19FD862}">
      <text>
        <r>
          <rPr>
            <b/>
            <sz val="9"/>
            <color indexed="81"/>
            <rFont val="Segoe UI"/>
            <family val="2"/>
          </rPr>
          <t>Prevost Martina:</t>
        </r>
        <r>
          <rPr>
            <sz val="9"/>
            <color indexed="81"/>
            <rFont val="Segoe UI"/>
            <family val="2"/>
          </rPr>
          <t xml:space="preserve">
Total pro ha und Jahr</t>
        </r>
      </text>
    </comment>
    <comment ref="BA16" authorId="1" shapeId="0" xr:uid="{76EC1950-7885-4AF2-8779-1846ECD066D3}">
      <text>
        <r>
          <rPr>
            <b/>
            <sz val="9"/>
            <color indexed="81"/>
            <rFont val="Segoe UI"/>
            <family val="2"/>
          </rPr>
          <t>Prevost Martina:</t>
        </r>
        <r>
          <rPr>
            <sz val="9"/>
            <color indexed="81"/>
            <rFont val="Segoe UI"/>
            <family val="2"/>
          </rPr>
          <t xml:space="preserve">
Total pro ha und Jahr</t>
        </r>
      </text>
    </comment>
    <comment ref="BH16" authorId="1" shapeId="0" xr:uid="{F7DA405A-05B6-4453-9BD6-FF1DCC5176E6}">
      <text>
        <r>
          <rPr>
            <b/>
            <sz val="9"/>
            <color indexed="81"/>
            <rFont val="Segoe UI"/>
            <family val="2"/>
          </rPr>
          <t>Prevost Martina:</t>
        </r>
        <r>
          <rPr>
            <sz val="9"/>
            <color indexed="81"/>
            <rFont val="Segoe UI"/>
            <family val="2"/>
          </rPr>
          <t xml:space="preserve">
Total pro ha und Jahr</t>
        </r>
      </text>
    </comment>
    <comment ref="BO16" authorId="1" shapeId="0" xr:uid="{2D54EE4C-3AB0-4537-946A-D748293CCED1}">
      <text>
        <r>
          <rPr>
            <b/>
            <sz val="9"/>
            <color indexed="81"/>
            <rFont val="Segoe UI"/>
            <family val="2"/>
          </rPr>
          <t>Prevost Martina:</t>
        </r>
        <r>
          <rPr>
            <sz val="9"/>
            <color indexed="81"/>
            <rFont val="Segoe UI"/>
            <family val="2"/>
          </rPr>
          <t xml:space="preserve">
Total pro ha und Jahr</t>
        </r>
      </text>
    </comment>
    <comment ref="BV16" authorId="1" shapeId="0" xr:uid="{FBE85411-AC7A-43F0-A946-EF79CE783190}">
      <text>
        <r>
          <rPr>
            <b/>
            <sz val="9"/>
            <color indexed="81"/>
            <rFont val="Segoe UI"/>
            <family val="2"/>
          </rPr>
          <t>Prevost Martina:</t>
        </r>
        <r>
          <rPr>
            <sz val="9"/>
            <color indexed="81"/>
            <rFont val="Segoe UI"/>
            <family val="2"/>
          </rPr>
          <t xml:space="preserve">
Total pro ha und Jahr</t>
        </r>
      </text>
    </comment>
    <comment ref="CC16" authorId="1" shapeId="0" xr:uid="{09073A03-FB69-4601-ADC9-A2DFD153CBF8}">
      <text>
        <r>
          <rPr>
            <b/>
            <sz val="9"/>
            <color indexed="81"/>
            <rFont val="Segoe UI"/>
            <family val="2"/>
          </rPr>
          <t>Prevost Martina:</t>
        </r>
        <r>
          <rPr>
            <sz val="9"/>
            <color indexed="81"/>
            <rFont val="Segoe UI"/>
            <family val="2"/>
          </rPr>
          <t xml:space="preserve">
Total pro ha und Jahr</t>
        </r>
      </text>
    </comment>
    <comment ref="CJ16" authorId="1" shapeId="0" xr:uid="{B935A51D-5646-4BCF-B24F-F7FE4DDCEA96}">
      <text>
        <r>
          <rPr>
            <b/>
            <sz val="9"/>
            <color indexed="81"/>
            <rFont val="Segoe UI"/>
            <family val="2"/>
          </rPr>
          <t>Prevost Martina:</t>
        </r>
        <r>
          <rPr>
            <sz val="9"/>
            <color indexed="81"/>
            <rFont val="Segoe UI"/>
            <family val="2"/>
          </rPr>
          <t xml:space="preserve">
Total pro ha und Jahr</t>
        </r>
      </text>
    </comment>
    <comment ref="CQ16" authorId="1" shapeId="0" xr:uid="{AE9D19B3-0230-41A2-B9C3-954DE58D0021}">
      <text>
        <r>
          <rPr>
            <b/>
            <sz val="9"/>
            <color indexed="81"/>
            <rFont val="Segoe UI"/>
            <family val="2"/>
          </rPr>
          <t>Prevost Martina:</t>
        </r>
        <r>
          <rPr>
            <sz val="9"/>
            <color indexed="81"/>
            <rFont val="Segoe UI"/>
            <family val="2"/>
          </rPr>
          <t xml:space="preserve">
Total pro ha und Jahr</t>
        </r>
      </text>
    </comment>
    <comment ref="CX16" authorId="1" shapeId="0" xr:uid="{2AE35C67-769C-44CB-A933-78FC32D6FD0D}">
      <text>
        <r>
          <rPr>
            <b/>
            <sz val="9"/>
            <color indexed="81"/>
            <rFont val="Segoe UI"/>
            <family val="2"/>
          </rPr>
          <t>Prevost Martina:</t>
        </r>
        <r>
          <rPr>
            <sz val="9"/>
            <color indexed="81"/>
            <rFont val="Segoe UI"/>
            <family val="2"/>
          </rPr>
          <t xml:space="preserve">
Total pro ha und Jahr</t>
        </r>
      </text>
    </comment>
    <comment ref="DE16" authorId="1" shapeId="0" xr:uid="{29372221-9909-4A91-A74A-AE340C95D026}">
      <text>
        <r>
          <rPr>
            <b/>
            <sz val="9"/>
            <color indexed="81"/>
            <rFont val="Segoe UI"/>
            <family val="2"/>
          </rPr>
          <t>Prevost Martina:</t>
        </r>
        <r>
          <rPr>
            <sz val="9"/>
            <color indexed="81"/>
            <rFont val="Segoe UI"/>
            <family val="2"/>
          </rPr>
          <t xml:space="preserve">
Total pro ha und Jahr</t>
        </r>
      </text>
    </comment>
    <comment ref="C17" authorId="2" shapeId="0" xr:uid="{00000000-0006-0000-0800-000005000000}">
      <text>
        <r>
          <rPr>
            <sz val="8"/>
            <color indexed="81"/>
            <rFont val="Tahoma"/>
            <family val="2"/>
          </rPr>
          <t xml:space="preserve">
Anzahl Fahrten
</t>
        </r>
      </text>
    </comment>
    <comment ref="J17" authorId="2" shapeId="0" xr:uid="{C8E6C624-1453-468B-91E4-82ABFE01A755}">
      <text>
        <r>
          <rPr>
            <sz val="8"/>
            <color indexed="81"/>
            <rFont val="Tahoma"/>
            <family val="2"/>
          </rPr>
          <t xml:space="preserve">
Anzahl Fahrten
</t>
        </r>
      </text>
    </comment>
    <comment ref="Q17" authorId="2" shapeId="0" xr:uid="{9F964DB6-3B81-44F3-BBAF-651E62BB52E3}">
      <text>
        <r>
          <rPr>
            <sz val="8"/>
            <color indexed="81"/>
            <rFont val="Tahoma"/>
            <family val="2"/>
          </rPr>
          <t xml:space="preserve">
Anzahl Fahrten
</t>
        </r>
      </text>
    </comment>
    <comment ref="X17" authorId="2" shapeId="0" xr:uid="{A3E47BE7-0F5A-4F64-ADA6-2F0D60673F59}">
      <text>
        <r>
          <rPr>
            <sz val="8"/>
            <color indexed="81"/>
            <rFont val="Tahoma"/>
            <family val="2"/>
          </rPr>
          <t xml:space="preserve">
Anzahl Fahrten
</t>
        </r>
      </text>
    </comment>
    <comment ref="AE17" authorId="2" shapeId="0" xr:uid="{1099116A-FDD2-4DD2-8CFF-FC2106AB1133}">
      <text>
        <r>
          <rPr>
            <sz val="8"/>
            <color indexed="81"/>
            <rFont val="Tahoma"/>
            <family val="2"/>
          </rPr>
          <t xml:space="preserve">
Anzahl Fahrten
</t>
        </r>
      </text>
    </comment>
    <comment ref="AL17" authorId="2" shapeId="0" xr:uid="{1707C70C-B6C1-4C92-980B-F01E68C40C5A}">
      <text>
        <r>
          <rPr>
            <sz val="8"/>
            <color indexed="81"/>
            <rFont val="Tahoma"/>
            <family val="2"/>
          </rPr>
          <t xml:space="preserve">
Anzahl Fahrten
</t>
        </r>
      </text>
    </comment>
    <comment ref="AS17" authorId="2" shapeId="0" xr:uid="{C59C9A5E-CFEA-4FA7-92DF-CF4D09A0C76F}">
      <text>
        <r>
          <rPr>
            <sz val="8"/>
            <color indexed="81"/>
            <rFont val="Tahoma"/>
            <family val="2"/>
          </rPr>
          <t xml:space="preserve">
Anzahl Fahrten
</t>
        </r>
      </text>
    </comment>
    <comment ref="AZ17" authorId="2" shapeId="0" xr:uid="{1968CFB5-671F-4A42-B6C5-F91C4D1E41F4}">
      <text>
        <r>
          <rPr>
            <sz val="8"/>
            <color indexed="81"/>
            <rFont val="Tahoma"/>
            <family val="2"/>
          </rPr>
          <t xml:space="preserve">
Anzahl Fahrten
</t>
        </r>
      </text>
    </comment>
    <comment ref="BG17" authorId="2" shapeId="0" xr:uid="{FEFB6F8B-10DA-48E3-94B1-515E03320EB4}">
      <text>
        <r>
          <rPr>
            <sz val="8"/>
            <color indexed="81"/>
            <rFont val="Tahoma"/>
            <family val="2"/>
          </rPr>
          <t xml:space="preserve">
Anzahl Fahrten
</t>
        </r>
      </text>
    </comment>
    <comment ref="BN17" authorId="2" shapeId="0" xr:uid="{AD1727E9-7D64-4A48-AE4F-1B752429DBB0}">
      <text>
        <r>
          <rPr>
            <sz val="8"/>
            <color indexed="81"/>
            <rFont val="Tahoma"/>
            <family val="2"/>
          </rPr>
          <t xml:space="preserve">
Anzahl Fahrten
</t>
        </r>
      </text>
    </comment>
    <comment ref="BU17" authorId="2" shapeId="0" xr:uid="{9EDB4986-4F29-4ADA-8C6D-13C71115C435}">
      <text>
        <r>
          <rPr>
            <sz val="8"/>
            <color indexed="81"/>
            <rFont val="Tahoma"/>
            <family val="2"/>
          </rPr>
          <t xml:space="preserve">
Anzahl Fahrten
</t>
        </r>
      </text>
    </comment>
    <comment ref="CB17" authorId="2" shapeId="0" xr:uid="{E0E1ACBD-47F3-47CF-A1A5-C2FC0BBF8877}">
      <text>
        <r>
          <rPr>
            <sz val="8"/>
            <color indexed="81"/>
            <rFont val="Tahoma"/>
            <family val="2"/>
          </rPr>
          <t xml:space="preserve">
Anzahl Fahrten
</t>
        </r>
      </text>
    </comment>
    <comment ref="CI17" authorId="2" shapeId="0" xr:uid="{8EF751BA-93A1-4AFA-8B0F-01CA36C05889}">
      <text>
        <r>
          <rPr>
            <sz val="8"/>
            <color indexed="81"/>
            <rFont val="Tahoma"/>
            <family val="2"/>
          </rPr>
          <t xml:space="preserve">
Anzahl Fahrten
</t>
        </r>
      </text>
    </comment>
    <comment ref="CP17" authorId="2" shapeId="0" xr:uid="{C82563E2-347B-4806-88C8-C6EFD2065A80}">
      <text>
        <r>
          <rPr>
            <sz val="8"/>
            <color indexed="81"/>
            <rFont val="Tahoma"/>
            <family val="2"/>
          </rPr>
          <t xml:space="preserve">
Anzahl Fahrten
</t>
        </r>
      </text>
    </comment>
    <comment ref="CW17" authorId="2" shapeId="0" xr:uid="{4ABDB731-B44F-49A3-B958-65AFD6791609}">
      <text>
        <r>
          <rPr>
            <sz val="8"/>
            <color indexed="81"/>
            <rFont val="Tahoma"/>
            <family val="2"/>
          </rPr>
          <t xml:space="preserve">
Anzahl Fahrten
</t>
        </r>
      </text>
    </comment>
    <comment ref="DD17" authorId="2" shapeId="0" xr:uid="{71530E61-0B0D-422F-A3ED-3FD93C9BCA98}">
      <text>
        <r>
          <rPr>
            <sz val="8"/>
            <color indexed="81"/>
            <rFont val="Tahoma"/>
            <family val="2"/>
          </rPr>
          <t xml:space="preserve">
Anzahl Fahrten
</t>
        </r>
      </text>
    </comment>
    <comment ref="F29" authorId="1" shapeId="0" xr:uid="{D51B0849-3518-4AE7-86AF-3E913DC629D9}">
      <text>
        <r>
          <rPr>
            <b/>
            <sz val="9"/>
            <color indexed="81"/>
            <rFont val="Segoe UI"/>
            <family val="2"/>
          </rPr>
          <t>Prevost Martina:</t>
        </r>
        <r>
          <rPr>
            <sz val="9"/>
            <color indexed="81"/>
            <rFont val="Segoe UI"/>
            <family val="2"/>
          </rPr>
          <t xml:space="preserve">
auf 75 % der Ausschussware Beiträge für Brennkirschen </t>
        </r>
      </text>
    </comment>
    <comment ref="M29" authorId="1" shapeId="0" xr:uid="{E4849B02-6D9C-4698-93E9-AE9370A3D7CC}">
      <text>
        <r>
          <rPr>
            <b/>
            <sz val="9"/>
            <color indexed="81"/>
            <rFont val="Segoe UI"/>
            <family val="2"/>
          </rPr>
          <t>Prevost Martina:</t>
        </r>
        <r>
          <rPr>
            <sz val="9"/>
            <color indexed="81"/>
            <rFont val="Segoe UI"/>
            <family val="2"/>
          </rPr>
          <t xml:space="preserve">
auf 75 % der Ausschussware Beiträge für Brennkirschen </t>
        </r>
      </text>
    </comment>
    <comment ref="T29" authorId="1" shapeId="0" xr:uid="{07E35B5D-3B9F-4D8E-ADCE-EDD4C0A4D4AD}">
      <text>
        <r>
          <rPr>
            <b/>
            <sz val="9"/>
            <color indexed="81"/>
            <rFont val="Segoe UI"/>
            <family val="2"/>
          </rPr>
          <t>Prevost Martina:</t>
        </r>
        <r>
          <rPr>
            <sz val="9"/>
            <color indexed="81"/>
            <rFont val="Segoe UI"/>
            <family val="2"/>
          </rPr>
          <t xml:space="preserve">
auf 75 % der Ausschussware Beiträge für Brennkirschen </t>
        </r>
      </text>
    </comment>
    <comment ref="AA29" authorId="1" shapeId="0" xr:uid="{8D55ED73-F0DA-4D9A-9AE3-14F4CF8CDEB5}">
      <text>
        <r>
          <rPr>
            <b/>
            <sz val="9"/>
            <color indexed="81"/>
            <rFont val="Segoe UI"/>
            <family val="2"/>
          </rPr>
          <t>Prevost Martina:</t>
        </r>
        <r>
          <rPr>
            <sz val="9"/>
            <color indexed="81"/>
            <rFont val="Segoe UI"/>
            <family val="2"/>
          </rPr>
          <t xml:space="preserve">
auf 75 % der Ausschussware Beiträge für Brennkirschen </t>
        </r>
      </text>
    </comment>
    <comment ref="AH29" authorId="1" shapeId="0" xr:uid="{D9C67E4E-5115-4C4A-9297-BE517A6992DB}">
      <text>
        <r>
          <rPr>
            <b/>
            <sz val="9"/>
            <color indexed="81"/>
            <rFont val="Segoe UI"/>
            <family val="2"/>
          </rPr>
          <t>Prevost Martina:</t>
        </r>
        <r>
          <rPr>
            <sz val="9"/>
            <color indexed="81"/>
            <rFont val="Segoe UI"/>
            <family val="2"/>
          </rPr>
          <t xml:space="preserve">
auf 75 % der Ausschussware Beiträge für Brennkirschen </t>
        </r>
      </text>
    </comment>
    <comment ref="AO29" authorId="1" shapeId="0" xr:uid="{A3871046-0CA5-4FC3-BA08-66FEB958550E}">
      <text>
        <r>
          <rPr>
            <b/>
            <sz val="9"/>
            <color indexed="81"/>
            <rFont val="Segoe UI"/>
            <family val="2"/>
          </rPr>
          <t>Prevost Martina:</t>
        </r>
        <r>
          <rPr>
            <sz val="9"/>
            <color indexed="81"/>
            <rFont val="Segoe UI"/>
            <family val="2"/>
          </rPr>
          <t xml:space="preserve">
auf 75 % der Ausschussware Beiträge für Brennkirschen </t>
        </r>
      </text>
    </comment>
    <comment ref="AV29" authorId="1" shapeId="0" xr:uid="{C0FD8B5E-0766-4567-A0D7-1156AA17400E}">
      <text>
        <r>
          <rPr>
            <b/>
            <sz val="9"/>
            <color indexed="81"/>
            <rFont val="Segoe UI"/>
            <family val="2"/>
          </rPr>
          <t>Prevost Martina:</t>
        </r>
        <r>
          <rPr>
            <sz val="9"/>
            <color indexed="81"/>
            <rFont val="Segoe UI"/>
            <family val="2"/>
          </rPr>
          <t xml:space="preserve">
auf 75 % der Ausschussware Beiträge für Brennkirschen </t>
        </r>
      </text>
    </comment>
    <comment ref="BC29" authorId="1" shapeId="0" xr:uid="{3DE04F27-38A8-44B8-BD8A-371EF39971AB}">
      <text>
        <r>
          <rPr>
            <b/>
            <sz val="9"/>
            <color indexed="81"/>
            <rFont val="Segoe UI"/>
            <family val="2"/>
          </rPr>
          <t>Prevost Martina:</t>
        </r>
        <r>
          <rPr>
            <sz val="9"/>
            <color indexed="81"/>
            <rFont val="Segoe UI"/>
            <family val="2"/>
          </rPr>
          <t xml:space="preserve">
auf 75 % der Ausschussware Beiträge für Brennkirschen </t>
        </r>
      </text>
    </comment>
    <comment ref="BJ29" authorId="1" shapeId="0" xr:uid="{EFD65F72-E91C-463D-BC35-16A62AE02FCB}">
      <text>
        <r>
          <rPr>
            <b/>
            <sz val="9"/>
            <color indexed="81"/>
            <rFont val="Segoe UI"/>
            <family val="2"/>
          </rPr>
          <t>Prevost Martina:</t>
        </r>
        <r>
          <rPr>
            <sz val="9"/>
            <color indexed="81"/>
            <rFont val="Segoe UI"/>
            <family val="2"/>
          </rPr>
          <t xml:space="preserve">
auf 75 % der Ausschussware Beiträge für Brennkirschen </t>
        </r>
      </text>
    </comment>
    <comment ref="BQ29" authorId="1" shapeId="0" xr:uid="{90FE8B4B-238C-4A44-B69E-E909B5B3FC86}">
      <text>
        <r>
          <rPr>
            <b/>
            <sz val="9"/>
            <color indexed="81"/>
            <rFont val="Segoe UI"/>
            <family val="2"/>
          </rPr>
          <t>Prevost Martina:</t>
        </r>
        <r>
          <rPr>
            <sz val="9"/>
            <color indexed="81"/>
            <rFont val="Segoe UI"/>
            <family val="2"/>
          </rPr>
          <t xml:space="preserve">
auf 75 % der Ausschussware Beiträge für Brennkirschen </t>
        </r>
      </text>
    </comment>
    <comment ref="BX29" authorId="1" shapeId="0" xr:uid="{6FB9723B-889D-4EF2-9782-94CE72169191}">
      <text>
        <r>
          <rPr>
            <b/>
            <sz val="9"/>
            <color indexed="81"/>
            <rFont val="Segoe UI"/>
            <family val="2"/>
          </rPr>
          <t>Prevost Martina:</t>
        </r>
        <r>
          <rPr>
            <sz val="9"/>
            <color indexed="81"/>
            <rFont val="Segoe UI"/>
            <family val="2"/>
          </rPr>
          <t xml:space="preserve">
auf 75 % der Ausschussware Beiträge für Brennkirschen </t>
        </r>
      </text>
    </comment>
    <comment ref="CE29" authorId="1" shapeId="0" xr:uid="{49161FDB-AE1D-4842-A189-3495C75CE011}">
      <text>
        <r>
          <rPr>
            <b/>
            <sz val="9"/>
            <color indexed="81"/>
            <rFont val="Segoe UI"/>
            <family val="2"/>
          </rPr>
          <t>Prevost Martina:</t>
        </r>
        <r>
          <rPr>
            <sz val="9"/>
            <color indexed="81"/>
            <rFont val="Segoe UI"/>
            <family val="2"/>
          </rPr>
          <t xml:space="preserve">
auf 75 % der Ausschussware Beiträge für Brennkirschen </t>
        </r>
      </text>
    </comment>
    <comment ref="CL29" authorId="1" shapeId="0" xr:uid="{5E9962AE-B18A-43E9-AA1E-4C6FE82484D9}">
      <text>
        <r>
          <rPr>
            <b/>
            <sz val="9"/>
            <color indexed="81"/>
            <rFont val="Segoe UI"/>
            <family val="2"/>
          </rPr>
          <t>Prevost Martina:</t>
        </r>
        <r>
          <rPr>
            <sz val="9"/>
            <color indexed="81"/>
            <rFont val="Segoe UI"/>
            <family val="2"/>
          </rPr>
          <t xml:space="preserve">
auf 75 % der Ausschussware Beiträge für Brennkirschen </t>
        </r>
      </text>
    </comment>
    <comment ref="CS29" authorId="1" shapeId="0" xr:uid="{D7014230-3547-48E3-A38B-26550CA28860}">
      <text>
        <r>
          <rPr>
            <b/>
            <sz val="9"/>
            <color indexed="81"/>
            <rFont val="Segoe UI"/>
            <family val="2"/>
          </rPr>
          <t>Prevost Martina:</t>
        </r>
        <r>
          <rPr>
            <sz val="9"/>
            <color indexed="81"/>
            <rFont val="Segoe UI"/>
            <family val="2"/>
          </rPr>
          <t xml:space="preserve">
auf 75 % der Ausschussware Beiträge für Brennkirschen </t>
        </r>
      </text>
    </comment>
    <comment ref="CZ29" authorId="1" shapeId="0" xr:uid="{DFB45332-C00E-4079-BBC9-CBC7B3079CE2}">
      <text>
        <r>
          <rPr>
            <b/>
            <sz val="9"/>
            <color indexed="81"/>
            <rFont val="Segoe UI"/>
            <family val="2"/>
          </rPr>
          <t>Prevost Martina:</t>
        </r>
        <r>
          <rPr>
            <sz val="9"/>
            <color indexed="81"/>
            <rFont val="Segoe UI"/>
            <family val="2"/>
          </rPr>
          <t xml:space="preserve">
auf 75 % der Ausschussware Beiträge für Brennkirschen </t>
        </r>
      </text>
    </comment>
    <comment ref="DG29" authorId="1" shapeId="0" xr:uid="{2CB36797-CDAB-4F43-A25D-9A48465581C6}">
      <text>
        <r>
          <rPr>
            <b/>
            <sz val="9"/>
            <color indexed="81"/>
            <rFont val="Segoe UI"/>
            <family val="2"/>
          </rPr>
          <t>Prevost Martina:</t>
        </r>
        <r>
          <rPr>
            <sz val="9"/>
            <color indexed="81"/>
            <rFont val="Segoe UI"/>
            <family val="2"/>
          </rPr>
          <t xml:space="preserve">
auf 75 % der Ausschussware Beiträge für Brennkirschen </t>
        </r>
      </text>
    </comment>
    <comment ref="D36" authorId="2" shapeId="0" xr:uid="{6EEC1E37-DAAF-4204-8332-F01613E0B0CA}">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K36" authorId="2" shapeId="0" xr:uid="{A3703C9D-686A-4992-9CF3-5057E12A43F9}">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R36" authorId="2" shapeId="0" xr:uid="{6BB481A9-3C24-4DE7-B7AC-26E9D7750BAF}">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Y36" authorId="2" shapeId="0" xr:uid="{336DEED5-930B-4AFD-A2BF-2B1B9A188BF8}">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F36" authorId="2" shapeId="0" xr:uid="{01F25067-9CCC-4026-9C13-DD71D2F0F5F2}">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M36" authorId="2" shapeId="0" xr:uid="{2219B3D0-EFCE-4A25-B293-852FCDA45D8E}">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AT36" authorId="2" shapeId="0" xr:uid="{8A31BAA3-DD15-4FE2-95C8-69B624A508F2}">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A36" authorId="2" shapeId="0" xr:uid="{8379C610-0805-4473-B22A-CCEB6932290F}">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H36" authorId="2" shapeId="0" xr:uid="{8F7CCDEB-A7B3-4A75-99EE-3DD940365ED9}">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O36" authorId="2" shapeId="0" xr:uid="{8C28FA23-0AC1-4C09-9B56-08E3435EDDD9}">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BV36" authorId="2" shapeId="0" xr:uid="{9E61A8C4-1C17-41D5-B1F3-2F166A8C5FBE}">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C36" authorId="2" shapeId="0" xr:uid="{544086A9-47FC-4F72-B773-E553EE2BBD77}">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J36" authorId="2" shapeId="0" xr:uid="{A9021436-2324-4769-BAB6-43DEA256853A}">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Q36" authorId="2" shapeId="0" xr:uid="{B74D9ECC-FE08-44EF-A51F-B7699493817B}">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CX36" authorId="2" shapeId="0" xr:uid="{E01DD88A-E9F8-43AF-84E7-2A8FDDBD9C0E}">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DE36" authorId="2" shapeId="0" xr:uid="{6C1FE5F2-EFF1-4D12-B12E-B814D5722544}">
      <text>
        <r>
          <rPr>
            <sz val="10"/>
            <color indexed="81"/>
            <rFont val="Tahoma"/>
            <family val="2"/>
          </rPr>
          <t>für Lager von PBM, Dünger und Gebinde.
Sortierraum 0: im Bio werden Kirschen nicht sortiert. Quelle: Flugschrift 61, Tab. 18</t>
        </r>
        <r>
          <rPr>
            <sz val="8"/>
            <color indexed="81"/>
            <rFont val="Tahoma"/>
            <family val="2"/>
          </rPr>
          <t xml:space="preserve">
</t>
        </r>
      </text>
    </comment>
    <comment ref="E40" authorId="1" shapeId="0" xr:uid="{634DBCC2-FDBE-4814-8974-92DB0FEC6DFC}">
      <text>
        <r>
          <rPr>
            <b/>
            <sz val="9"/>
            <color indexed="81"/>
            <rFont val="Segoe UI"/>
            <family val="2"/>
          </rPr>
          <t>Prevost Martina:</t>
        </r>
        <r>
          <rPr>
            <sz val="9"/>
            <color indexed="81"/>
            <rFont val="Segoe UI"/>
            <family val="2"/>
          </rPr>
          <t xml:space="preserve">
Fr./Fu</t>
        </r>
      </text>
    </comment>
    <comment ref="L40" authorId="1" shapeId="0" xr:uid="{C9DFC1B0-3C37-44C9-8B87-02DDBAC752C0}">
      <text>
        <r>
          <rPr>
            <b/>
            <sz val="9"/>
            <color indexed="81"/>
            <rFont val="Segoe UI"/>
            <family val="2"/>
          </rPr>
          <t>Prevost Martina:</t>
        </r>
        <r>
          <rPr>
            <sz val="9"/>
            <color indexed="81"/>
            <rFont val="Segoe UI"/>
            <family val="2"/>
          </rPr>
          <t xml:space="preserve">
Fr./Fu</t>
        </r>
      </text>
    </comment>
    <comment ref="S40" authorId="1" shapeId="0" xr:uid="{22FAB375-072C-4E56-9729-D5ECAA71DA7F}">
      <text>
        <r>
          <rPr>
            <b/>
            <sz val="9"/>
            <color indexed="81"/>
            <rFont val="Segoe UI"/>
            <family val="2"/>
          </rPr>
          <t>Prevost Martina:</t>
        </r>
        <r>
          <rPr>
            <sz val="9"/>
            <color indexed="81"/>
            <rFont val="Segoe UI"/>
            <family val="2"/>
          </rPr>
          <t xml:space="preserve">
Fr./Fu</t>
        </r>
      </text>
    </comment>
    <comment ref="Z40" authorId="1" shapeId="0" xr:uid="{74B2F811-4496-4564-BB50-F8C761BF6D13}">
      <text>
        <r>
          <rPr>
            <b/>
            <sz val="9"/>
            <color indexed="81"/>
            <rFont val="Segoe UI"/>
            <family val="2"/>
          </rPr>
          <t>Prevost Martina:</t>
        </r>
        <r>
          <rPr>
            <sz val="9"/>
            <color indexed="81"/>
            <rFont val="Segoe UI"/>
            <family val="2"/>
          </rPr>
          <t xml:space="preserve">
Fr./Fu</t>
        </r>
      </text>
    </comment>
    <comment ref="AG40" authorId="1" shapeId="0" xr:uid="{47E25111-DC3E-491B-AA75-FAD20DA51EA6}">
      <text>
        <r>
          <rPr>
            <b/>
            <sz val="9"/>
            <color indexed="81"/>
            <rFont val="Segoe UI"/>
            <family val="2"/>
          </rPr>
          <t>Prevost Martina:</t>
        </r>
        <r>
          <rPr>
            <sz val="9"/>
            <color indexed="81"/>
            <rFont val="Segoe UI"/>
            <family val="2"/>
          </rPr>
          <t xml:space="preserve">
Fr./Fu</t>
        </r>
      </text>
    </comment>
    <comment ref="AN40" authorId="1" shapeId="0" xr:uid="{E5CE5453-5AC6-4F37-B5CF-DD7453F8B94D}">
      <text>
        <r>
          <rPr>
            <b/>
            <sz val="9"/>
            <color indexed="81"/>
            <rFont val="Segoe UI"/>
            <family val="2"/>
          </rPr>
          <t>Prevost Martina:</t>
        </r>
        <r>
          <rPr>
            <sz val="9"/>
            <color indexed="81"/>
            <rFont val="Segoe UI"/>
            <family val="2"/>
          </rPr>
          <t xml:space="preserve">
Fr./Fu</t>
        </r>
      </text>
    </comment>
    <comment ref="AU40" authorId="1" shapeId="0" xr:uid="{88636AF2-1EF3-467F-8E9B-1D6C1BBF8DAE}">
      <text>
        <r>
          <rPr>
            <b/>
            <sz val="9"/>
            <color indexed="81"/>
            <rFont val="Segoe UI"/>
            <family val="2"/>
          </rPr>
          <t>Prevost Martina:</t>
        </r>
        <r>
          <rPr>
            <sz val="9"/>
            <color indexed="81"/>
            <rFont val="Segoe UI"/>
            <family val="2"/>
          </rPr>
          <t xml:space="preserve">
Fr./Fu</t>
        </r>
      </text>
    </comment>
    <comment ref="BB40" authorId="1" shapeId="0" xr:uid="{6989DCF8-E9B1-40CA-BE45-B42A8F804FE8}">
      <text>
        <r>
          <rPr>
            <b/>
            <sz val="9"/>
            <color indexed="81"/>
            <rFont val="Segoe UI"/>
            <family val="2"/>
          </rPr>
          <t>Prevost Martina:</t>
        </r>
        <r>
          <rPr>
            <sz val="9"/>
            <color indexed="81"/>
            <rFont val="Segoe UI"/>
            <family val="2"/>
          </rPr>
          <t xml:space="preserve">
Fr./Fu</t>
        </r>
      </text>
    </comment>
    <comment ref="BI40" authorId="1" shapeId="0" xr:uid="{8CD25C6A-F041-4FA5-A38E-CF317A2F50C4}">
      <text>
        <r>
          <rPr>
            <b/>
            <sz val="9"/>
            <color indexed="81"/>
            <rFont val="Segoe UI"/>
            <family val="2"/>
          </rPr>
          <t>Prevost Martina:</t>
        </r>
        <r>
          <rPr>
            <sz val="9"/>
            <color indexed="81"/>
            <rFont val="Segoe UI"/>
            <family val="2"/>
          </rPr>
          <t xml:space="preserve">
Fr./Fu</t>
        </r>
      </text>
    </comment>
    <comment ref="BP40" authorId="1" shapeId="0" xr:uid="{D849BB35-89AD-4F46-88A5-0C0AA6252471}">
      <text>
        <r>
          <rPr>
            <b/>
            <sz val="9"/>
            <color indexed="81"/>
            <rFont val="Segoe UI"/>
            <family val="2"/>
          </rPr>
          <t>Prevost Martina:</t>
        </r>
        <r>
          <rPr>
            <sz val="9"/>
            <color indexed="81"/>
            <rFont val="Segoe UI"/>
            <family val="2"/>
          </rPr>
          <t xml:space="preserve">
Fr./Fu</t>
        </r>
      </text>
    </comment>
    <comment ref="BW40" authorId="1" shapeId="0" xr:uid="{4F5BE7F9-542B-4C70-8DA5-5ED06B371423}">
      <text>
        <r>
          <rPr>
            <b/>
            <sz val="9"/>
            <color indexed="81"/>
            <rFont val="Segoe UI"/>
            <family val="2"/>
          </rPr>
          <t>Prevost Martina:</t>
        </r>
        <r>
          <rPr>
            <sz val="9"/>
            <color indexed="81"/>
            <rFont val="Segoe UI"/>
            <family val="2"/>
          </rPr>
          <t xml:space="preserve">
Fr./Fu</t>
        </r>
      </text>
    </comment>
    <comment ref="CD40" authorId="1" shapeId="0" xr:uid="{BA536E39-55E5-4AFD-97EF-E5B4B29FA65D}">
      <text>
        <r>
          <rPr>
            <b/>
            <sz val="9"/>
            <color indexed="81"/>
            <rFont val="Segoe UI"/>
            <family val="2"/>
          </rPr>
          <t>Prevost Martina:</t>
        </r>
        <r>
          <rPr>
            <sz val="9"/>
            <color indexed="81"/>
            <rFont val="Segoe UI"/>
            <family val="2"/>
          </rPr>
          <t xml:space="preserve">
Fr./Fu</t>
        </r>
      </text>
    </comment>
    <comment ref="CK40" authorId="1" shapeId="0" xr:uid="{81E23517-C87E-4EDF-BDAA-B242904C2A65}">
      <text>
        <r>
          <rPr>
            <b/>
            <sz val="9"/>
            <color indexed="81"/>
            <rFont val="Segoe UI"/>
            <family val="2"/>
          </rPr>
          <t>Prevost Martina:</t>
        </r>
        <r>
          <rPr>
            <sz val="9"/>
            <color indexed="81"/>
            <rFont val="Segoe UI"/>
            <family val="2"/>
          </rPr>
          <t xml:space="preserve">
Fr./Fu</t>
        </r>
      </text>
    </comment>
    <comment ref="CR40" authorId="1" shapeId="0" xr:uid="{683D585A-E3C0-4CB6-887D-0EE5466B8C7D}">
      <text>
        <r>
          <rPr>
            <b/>
            <sz val="9"/>
            <color indexed="81"/>
            <rFont val="Segoe UI"/>
            <family val="2"/>
          </rPr>
          <t>Prevost Martina:</t>
        </r>
        <r>
          <rPr>
            <sz val="9"/>
            <color indexed="81"/>
            <rFont val="Segoe UI"/>
            <family val="2"/>
          </rPr>
          <t xml:space="preserve">
Fr./Fu</t>
        </r>
      </text>
    </comment>
    <comment ref="CY40" authorId="1" shapeId="0" xr:uid="{E00E8FF7-F3D6-46E3-B1B5-C38C0842D1E4}">
      <text>
        <r>
          <rPr>
            <b/>
            <sz val="9"/>
            <color indexed="81"/>
            <rFont val="Segoe UI"/>
            <family val="2"/>
          </rPr>
          <t>Prevost Martina:</t>
        </r>
        <r>
          <rPr>
            <sz val="9"/>
            <color indexed="81"/>
            <rFont val="Segoe UI"/>
            <family val="2"/>
          </rPr>
          <t xml:space="preserve">
Fr./Fu</t>
        </r>
      </text>
    </comment>
    <comment ref="DF40" authorId="1" shapeId="0" xr:uid="{0A193D53-A1D6-4642-BE6C-C12633F80B09}">
      <text>
        <r>
          <rPr>
            <b/>
            <sz val="9"/>
            <color indexed="81"/>
            <rFont val="Segoe UI"/>
            <family val="2"/>
          </rPr>
          <t>Prevost Martina:</t>
        </r>
        <r>
          <rPr>
            <sz val="9"/>
            <color indexed="81"/>
            <rFont val="Segoe UI"/>
            <family val="2"/>
          </rPr>
          <t xml:space="preserve">
Fr./Fu</t>
        </r>
      </text>
    </comment>
    <comment ref="P62" authorId="1" shapeId="0" xr:uid="{BBB362B3-0C72-4088-A076-4F3A51FEB8A2}">
      <text>
        <r>
          <rPr>
            <b/>
            <sz val="9"/>
            <color indexed="81"/>
            <rFont val="Segoe UI"/>
            <family val="2"/>
          </rPr>
          <t>Prevost Martina:</t>
        </r>
        <r>
          <rPr>
            <sz val="9"/>
            <color indexed="81"/>
            <rFont val="Segoe UI"/>
            <family val="2"/>
          </rPr>
          <t xml:space="preserve">
1. Montage Folie, Einnetzung und falls vorhanden Hagelnetz</t>
        </r>
      </text>
    </comment>
  </commentList>
</comments>
</file>

<file path=xl/sharedStrings.xml><?xml version="1.0" encoding="utf-8"?>
<sst xmlns="http://schemas.openxmlformats.org/spreadsheetml/2006/main" count="3403" uniqueCount="592">
  <si>
    <t>Bruttofläche</t>
  </si>
  <si>
    <t>Nettofläche</t>
  </si>
  <si>
    <t>Wendefläche</t>
  </si>
  <si>
    <t>Länge</t>
  </si>
  <si>
    <t>Breite</t>
  </si>
  <si>
    <t>berechnet</t>
  </si>
  <si>
    <t>m2</t>
  </si>
  <si>
    <t>Spindel</t>
  </si>
  <si>
    <t>Gassenbreite</t>
  </si>
  <si>
    <t>m</t>
  </si>
  <si>
    <t>Abschreibdauer</t>
  </si>
  <si>
    <t>Baumabstand</t>
  </si>
  <si>
    <t>Anzahl Reihen</t>
  </si>
  <si>
    <t>Ernte</t>
  </si>
  <si>
    <t>Bäume pro ha</t>
  </si>
  <si>
    <t>Pflanzgut</t>
  </si>
  <si>
    <t>Baumpreis</t>
  </si>
  <si>
    <t>Zinssatz</t>
  </si>
  <si>
    <t>Anzahl</t>
  </si>
  <si>
    <t>Stückpreis</t>
  </si>
  <si>
    <t>Kosten</t>
  </si>
  <si>
    <t>Verschiedenes</t>
  </si>
  <si>
    <t>Bodenanalyse</t>
  </si>
  <si>
    <t xml:space="preserve">Total direkte Kosten </t>
  </si>
  <si>
    <t>Zkh/ha</t>
  </si>
  <si>
    <t>Fr./h</t>
  </si>
  <si>
    <t>Fr./ha</t>
  </si>
  <si>
    <t>Maschinen</t>
  </si>
  <si>
    <t>Zugkraft</t>
  </si>
  <si>
    <t>Kleingeräte</t>
  </si>
  <si>
    <t>Total Maschinen und Zugkraftkosten</t>
  </si>
  <si>
    <t>Akh/ha</t>
  </si>
  <si>
    <t>Arbeit</t>
  </si>
  <si>
    <t>Düngung</t>
  </si>
  <si>
    <t>Bodenprobe</t>
  </si>
  <si>
    <t>Ausmessen</t>
  </si>
  <si>
    <t>Pflanzung inkl. Anbinden</t>
  </si>
  <si>
    <t>Einsaat</t>
  </si>
  <si>
    <t>Total Strukturkosten</t>
  </si>
  <si>
    <t>Stj.</t>
  </si>
  <si>
    <t>kg / ha</t>
  </si>
  <si>
    <t>kg / B.</t>
  </si>
  <si>
    <t>Ernteleistung</t>
  </si>
  <si>
    <t>1. Standjahr</t>
  </si>
  <si>
    <t>2. Standjahr</t>
  </si>
  <si>
    <t>3. Standjahr</t>
  </si>
  <si>
    <t>4. Standjahr</t>
  </si>
  <si>
    <t>5. Standjahr</t>
  </si>
  <si>
    <t>6. Standjahr</t>
  </si>
  <si>
    <t>7. Standjahr</t>
  </si>
  <si>
    <t>8. Standjahr</t>
  </si>
  <si>
    <t>9. Standjahr</t>
  </si>
  <si>
    <t>10. Standjahr</t>
  </si>
  <si>
    <t>11. Standjahr</t>
  </si>
  <si>
    <t>12. Standjahr</t>
  </si>
  <si>
    <t>13. Standjahr</t>
  </si>
  <si>
    <t>14. Standjahr</t>
  </si>
  <si>
    <t>15. Standjahr</t>
  </si>
  <si>
    <t>kg/B.</t>
  </si>
  <si>
    <t>kg/ha</t>
  </si>
  <si>
    <t>Preis pro Einh.</t>
  </si>
  <si>
    <t>Rohertrag</t>
  </si>
  <si>
    <t>%</t>
  </si>
  <si>
    <t>Erträge</t>
  </si>
  <si>
    <t>Hagelversicherung</t>
  </si>
  <si>
    <t>pro 100 kg</t>
  </si>
  <si>
    <t>Fläche</t>
  </si>
  <si>
    <t>Fr./h, Fr./ha</t>
  </si>
  <si>
    <t>Schnittholzhacker</t>
  </si>
  <si>
    <t>kg/h</t>
  </si>
  <si>
    <t>Arbeiten</t>
  </si>
  <si>
    <t>für Boden</t>
  </si>
  <si>
    <t>Zeitwert</t>
  </si>
  <si>
    <t xml:space="preserve">Zins </t>
  </si>
  <si>
    <t>Gewinn / Verlust pro ha und Jahr</t>
  </si>
  <si>
    <t>Produktionskosten ohne Arbeitskosten</t>
  </si>
  <si>
    <t>Arbeitseinkommen pro Akh</t>
  </si>
  <si>
    <t>Anteil am RE</t>
  </si>
  <si>
    <t>Anteil PK</t>
  </si>
  <si>
    <t>Standard</t>
  </si>
  <si>
    <t>kg/Baum</t>
  </si>
  <si>
    <t>Erstellungsjahr</t>
  </si>
  <si>
    <t>1. Sandjahr</t>
  </si>
  <si>
    <t>Aufbauphase</t>
  </si>
  <si>
    <t>Unter den gewählten Vorgaben ergeben sich folgende Kenngrössen aus der Kapitalflussrechnung:</t>
  </si>
  <si>
    <t>Arbeitseinkommen / Akh</t>
  </si>
  <si>
    <t>Akh / ha</t>
  </si>
  <si>
    <t>SOLL Fläche in ha bei 2700 Akh/J</t>
  </si>
  <si>
    <t>ha</t>
  </si>
  <si>
    <t>(1 Standard-Akh = 300 T * 9 Akh)</t>
  </si>
  <si>
    <t>Produktionskosten</t>
  </si>
  <si>
    <t>umsatzgewichtet</t>
  </si>
  <si>
    <t>h</t>
  </si>
  <si>
    <t>Total Standdauer</t>
  </si>
  <si>
    <t>Bewässerung, Beregnung</t>
  </si>
  <si>
    <t>Nein</t>
  </si>
  <si>
    <t>Ja</t>
  </si>
  <si>
    <t>Direktzahlungen ÖLN</t>
  </si>
  <si>
    <t>Gesamterlös (Leistung)</t>
  </si>
  <si>
    <t>Ertragsphase</t>
  </si>
  <si>
    <t>mit Direktzahlungen</t>
  </si>
  <si>
    <t xml:space="preserve">Produktionskosten </t>
  </si>
  <si>
    <t>durchschnittlich über alle Klassen:</t>
  </si>
  <si>
    <r>
      <t xml:space="preserve">Gebäudekosten </t>
    </r>
    <r>
      <rPr>
        <sz val="10"/>
        <rFont val="Arial"/>
        <family val="2"/>
      </rPr>
      <t>(Sortierraum 0 m2, Materiallager 10 m2)</t>
    </r>
  </si>
  <si>
    <t xml:space="preserve">Lohnkosten brutto    </t>
  </si>
  <si>
    <t>Total</t>
  </si>
  <si>
    <t>Arbeitseinkommen  intern pro Akh</t>
  </si>
  <si>
    <t xml:space="preserve">                                                        Akh extern total</t>
  </si>
  <si>
    <t>Sämaschine 3 m</t>
  </si>
  <si>
    <t>Düngerstreuer Einkasten 2.5 m</t>
  </si>
  <si>
    <t>Pneuwagen 2achsig, 3 t</t>
  </si>
  <si>
    <t>Bewirtschaftung Obstanlage</t>
  </si>
  <si>
    <t>1 Wg.7h</t>
  </si>
  <si>
    <t>1 Wg. 7.5h</t>
  </si>
  <si>
    <t>z.B. (Verwaltung) für Planen, organisieren</t>
  </si>
  <si>
    <t>Diverses Material und Kleingeräte</t>
  </si>
  <si>
    <t>Verwaltung + übrige Arbeiten</t>
  </si>
  <si>
    <t>Mulchen und Schnittholz hacken</t>
  </si>
  <si>
    <t>Speziell für Erstellung</t>
  </si>
  <si>
    <t>Maschinen und Geräte</t>
  </si>
  <si>
    <t>Dünger</t>
  </si>
  <si>
    <t>1. Stj.</t>
  </si>
  <si>
    <t>2. Stj.</t>
  </si>
  <si>
    <t>3. Stj.</t>
  </si>
  <si>
    <t>Pflanzenbehandlungsmittel</t>
  </si>
  <si>
    <t>Geräte</t>
  </si>
  <si>
    <t>hier gewählt</t>
  </si>
  <si>
    <t>Zkh/Durchgang</t>
  </si>
  <si>
    <t>berechnet aus Anzahl PBM</t>
  </si>
  <si>
    <t>berechnet aus Anzahl Dünger</t>
  </si>
  <si>
    <t>Fr./Durchgang</t>
  </si>
  <si>
    <t>Total Gerätestunden</t>
  </si>
  <si>
    <t>Traktor für Ernte</t>
  </si>
  <si>
    <t xml:space="preserve">Variante </t>
  </si>
  <si>
    <t>intern (Familie)</t>
  </si>
  <si>
    <t>Resultate</t>
  </si>
  <si>
    <t>+/-</t>
  </si>
  <si>
    <t xml:space="preserve"> +/-</t>
  </si>
  <si>
    <t>fixe Kosten</t>
  </si>
  <si>
    <t>variable Kosten</t>
  </si>
  <si>
    <t>Fr/ha</t>
  </si>
  <si>
    <t>variable Kosten Maschinen und Geräte</t>
  </si>
  <si>
    <t>Kalkulierte Produktionskosten</t>
  </si>
  <si>
    <t>Betriebsminimum</t>
  </si>
  <si>
    <t>Dünger + PBM + Hagelversicherung +Abzüge+var.Maschinenkosten + Lohnkosten</t>
  </si>
  <si>
    <t>externe Arbeitskräfte</t>
  </si>
  <si>
    <t>Bäume / ha</t>
  </si>
  <si>
    <t>Systembeschreibung</t>
  </si>
  <si>
    <t>Obstart</t>
  </si>
  <si>
    <t>Produktionsweise</t>
  </si>
  <si>
    <t>Erziehungsform</t>
  </si>
  <si>
    <t>Geometrische Daten</t>
  </si>
  <si>
    <t>Variante</t>
  </si>
  <si>
    <t>Verwaltung+übrige Arbeiten</t>
  </si>
  <si>
    <t>Pflanzenschutzkontrolle</t>
  </si>
  <si>
    <t>Mausen</t>
  </si>
  <si>
    <t>Behangsregulierung Hand</t>
  </si>
  <si>
    <t>Akh</t>
  </si>
  <si>
    <t>Verwaltung</t>
  </si>
  <si>
    <t>übrige Arbeiten</t>
  </si>
  <si>
    <t xml:space="preserve">2. Stj. </t>
  </si>
  <si>
    <t>wie Ertragsphase</t>
  </si>
  <si>
    <t>Rodungskosten</t>
  </si>
  <si>
    <r>
      <t xml:space="preserve">Diverse Kosten               </t>
    </r>
    <r>
      <rPr>
        <sz val="10"/>
        <color indexed="8"/>
        <rFont val="Arial"/>
        <family val="2"/>
      </rPr>
      <t xml:space="preserve"> Ersatzmaterial 400.-  +   Büromaterial 200.-  + </t>
    </r>
  </si>
  <si>
    <t>Bewässerung</t>
  </si>
  <si>
    <t>eigene Maschinen</t>
  </si>
  <si>
    <t>Arbeitsproduktivität</t>
  </si>
  <si>
    <t>Gesamterlös pro Akh</t>
  </si>
  <si>
    <t>Rentabilität</t>
  </si>
  <si>
    <t>Tafelkirsche</t>
  </si>
  <si>
    <t>Versicherung Regendach</t>
  </si>
  <si>
    <t>Qualität und Ernteleistung</t>
  </si>
  <si>
    <t>Brennkirschen</t>
  </si>
  <si>
    <t>Summe 1.-4. Stj.</t>
  </si>
  <si>
    <t>Summe 1.-16. Stj.</t>
  </si>
  <si>
    <t>Durchschnitt 5.-16. Stj.</t>
  </si>
  <si>
    <t>Durchschnitt 1.-16. Stj.</t>
  </si>
  <si>
    <t>pro ha</t>
  </si>
  <si>
    <t>l,kg pro ha</t>
  </si>
  <si>
    <t>16. Standjahr</t>
  </si>
  <si>
    <t>Anzahl Fahrten</t>
  </si>
  <si>
    <t>Diverse Kleingeräte</t>
  </si>
  <si>
    <t xml:space="preserve">                                     Erntestd.</t>
  </si>
  <si>
    <r>
      <t>Ernte</t>
    </r>
    <r>
      <rPr>
        <sz val="10"/>
        <rFont val="Arial"/>
        <family val="2"/>
      </rPr>
      <t xml:space="preserve"> (inkl. Sortieren ohne kalibrieren)</t>
    </r>
  </si>
  <si>
    <t>Zins für Boden</t>
  </si>
  <si>
    <t>Erstellungskosten Bewässerungsanlage</t>
  </si>
  <si>
    <t>Baumgerüst</t>
  </si>
  <si>
    <t>Diverses (z.B. Telefon, Transport, Bindematerial)</t>
  </si>
  <si>
    <t>Fr./h Fahrt</t>
  </si>
  <si>
    <t>Spatenmaschine 2m</t>
  </si>
  <si>
    <t xml:space="preserve">nur im Baumstreifen </t>
  </si>
  <si>
    <t>Streifen spaten</t>
  </si>
  <si>
    <t>Streifen fräsen</t>
  </si>
  <si>
    <t>Baumpfahl stellen</t>
  </si>
  <si>
    <t>Erwirtschaftetes Kapital nach 16 Jahren</t>
  </si>
  <si>
    <t>Tafelkirschen</t>
  </si>
  <si>
    <r>
      <t xml:space="preserve">Gebäudekosten </t>
    </r>
    <r>
      <rPr>
        <sz val="10"/>
        <rFont val="Arial"/>
        <family val="2"/>
      </rPr>
      <t>(Sortierraum 30 m2, Materiallager 10 m2)</t>
    </r>
  </si>
  <si>
    <t>Materialkosten</t>
  </si>
  <si>
    <t>Arbeitskosten</t>
  </si>
  <si>
    <t>Totale Erstellungskosten</t>
  </si>
  <si>
    <t xml:space="preserve"> Akh gesamt pro ha </t>
  </si>
  <si>
    <t xml:space="preserve"> Akh  intern</t>
  </si>
  <si>
    <t>Faktor für mittleren Zins</t>
  </si>
  <si>
    <t>Pflanzenschutz inkl. Kontrolle und Mausen</t>
  </si>
  <si>
    <t>Regendachfolie:  Montage + Einrollen</t>
  </si>
  <si>
    <t>Kontrolle</t>
  </si>
  <si>
    <t>Spühlung</t>
  </si>
  <si>
    <t>Einrollen</t>
  </si>
  <si>
    <t xml:space="preserve">                                                      Erntestunden</t>
  </si>
  <si>
    <t>Strom</t>
  </si>
  <si>
    <r>
      <t xml:space="preserve">Bewässerung                              </t>
    </r>
    <r>
      <rPr>
        <sz val="10"/>
        <rFont val="Arial"/>
        <family val="2"/>
      </rPr>
      <t>Wasser</t>
    </r>
  </si>
  <si>
    <t>m³</t>
  </si>
  <si>
    <t>Fr./m3</t>
  </si>
  <si>
    <t>pro Jahr (ab 1. Stj.)</t>
  </si>
  <si>
    <t>Fr./Jahr</t>
  </si>
  <si>
    <r>
      <t xml:space="preserve">Bewässerung                          </t>
    </r>
    <r>
      <rPr>
        <sz val="10"/>
        <rFont val="Arial"/>
        <family val="2"/>
      </rPr>
      <t>Wasser</t>
    </r>
  </si>
  <si>
    <t>Ertragsjahre</t>
  </si>
  <si>
    <t>wie Ertragsjahre</t>
  </si>
  <si>
    <t>ZA = Kapitalkosten</t>
  </si>
  <si>
    <t xml:space="preserve">PK ohne ZA </t>
  </si>
  <si>
    <t>Gewinn ohne ZA</t>
  </si>
  <si>
    <t>3. Stj. und folgende</t>
  </si>
  <si>
    <t>Annahme: alles eigene Maschinen: fixe Kosten + var. Kosten = Mietansätze - 10 %</t>
  </si>
  <si>
    <t>Regendachfolie:  1. Montage + Einrollen</t>
  </si>
  <si>
    <t>Traktor</t>
  </si>
  <si>
    <t>Kosten für jährliche Montage und Einrollen der Folie</t>
  </si>
  <si>
    <t>Jährliche Kosten für Montage und Einrollen der Folie</t>
  </si>
  <si>
    <t>Ausrollen</t>
  </si>
  <si>
    <t>Regendachfolie:  Ausrollen + Einrollen</t>
  </si>
  <si>
    <t>Abschreibung 2. Folie</t>
  </si>
  <si>
    <r>
      <t>Total Erstellungskosten</t>
    </r>
    <r>
      <rPr>
        <sz val="12"/>
        <color indexed="9"/>
        <rFont val="Arial"/>
        <family val="2"/>
      </rPr>
      <t xml:space="preserve"> Anlage ohne Zaun</t>
    </r>
  </si>
  <si>
    <t>für aktuelle Investition</t>
  </si>
  <si>
    <t xml:space="preserve">für aktuelle Investition </t>
  </si>
  <si>
    <t xml:space="preserve">für Investition Kirschenanlage </t>
  </si>
  <si>
    <t>Anteil externe Akh für Ernte</t>
  </si>
  <si>
    <t xml:space="preserve">Anzahl Tage </t>
  </si>
  <si>
    <t>Liter / Baum</t>
  </si>
  <si>
    <t>Arbeitseinkommen   intern      Fr./h</t>
  </si>
  <si>
    <t>Standard 1ha</t>
  </si>
  <si>
    <t>Definition Standard:</t>
  </si>
  <si>
    <t xml:space="preserve">Moderne Tafelkirschenanlage mit Regendach und Bewässerung; auf Betrieb mit mehr als 0.5 ha Tafelkirschen in Hauptproduktionsgebiet </t>
  </si>
  <si>
    <t>Regenschutzfolie</t>
  </si>
  <si>
    <t>Variante  1ha</t>
  </si>
  <si>
    <t>Definition Variante:</t>
  </si>
  <si>
    <t xml:space="preserve">Berechnungshilfe </t>
  </si>
  <si>
    <t xml:space="preserve">Seite 1 </t>
  </si>
  <si>
    <t xml:space="preserve">z.B. (Verwaltung) für Planen, </t>
  </si>
  <si>
    <t xml:space="preserve">         organisieren</t>
  </si>
  <si>
    <t>Fr./kg</t>
  </si>
  <si>
    <t>fixe Kosten Maschinen und Geräte</t>
  </si>
  <si>
    <t>Sorte und Unterlage</t>
  </si>
  <si>
    <t>Brutto</t>
  </si>
  <si>
    <t>Netto</t>
  </si>
  <si>
    <t>Wendezone</t>
  </si>
  <si>
    <t>Sortierkategorien</t>
  </si>
  <si>
    <r>
      <t>Lohnkosten brutto</t>
    </r>
    <r>
      <rPr>
        <sz val="10"/>
        <color indexed="8"/>
        <rFont val="Arial"/>
        <family val="2"/>
      </rPr>
      <t xml:space="preserve">  intern (Familie)</t>
    </r>
  </si>
  <si>
    <r>
      <t>Lohnkosten brutto</t>
    </r>
    <r>
      <rPr>
        <sz val="10"/>
        <color indexed="8"/>
        <rFont val="Arial"/>
        <family val="2"/>
      </rPr>
      <t xml:space="preserve">  extern</t>
    </r>
  </si>
  <si>
    <t>Kostengliederung</t>
  </si>
  <si>
    <t>Gliederung nach Kostenarten</t>
  </si>
  <si>
    <t>Anteil an PK</t>
  </si>
  <si>
    <t>Kapitalkosten</t>
  </si>
  <si>
    <t>Sachkosten</t>
  </si>
  <si>
    <t>Gliederung Arbeitskosten (alle Arbeiten)</t>
  </si>
  <si>
    <t>Gliederung Arbeitskosten (&gt; 10%)</t>
  </si>
  <si>
    <t>übrige Arbeiten (aus Posten &lt; 10%)</t>
  </si>
  <si>
    <t>Gliederung nach Sachkosten</t>
  </si>
  <si>
    <t>übrige Kosten (aus Posten mit &lt; 10%)</t>
  </si>
  <si>
    <t>Gliederung nach buchhalterischer Konvention</t>
  </si>
  <si>
    <t>Zeitgemässe Tafelkirschenanlage auf schwachwachsender Unterlage. Werte sind ausgelegt auf gemischtwirtschaftliche Betriebe mit mehr als 0.5 ha Tafelkirschen, an geeigneten Standort in einem der Hauptproduktionsgebiete der Schweiz.</t>
  </si>
  <si>
    <t xml:space="preserve">Eigenkapitalsrente (Gewinn+Zinsanspruch) pro investiertem Kapital </t>
  </si>
  <si>
    <t>Ertrag / Jahr          Ertragsphase</t>
  </si>
  <si>
    <t>Arbeitseinkommen   durchsch.   Fr./h</t>
  </si>
  <si>
    <t>Produktionskosten durchschn.   Fr. / kg</t>
  </si>
  <si>
    <t>Indikatoren der Wirtschaftlichkeit</t>
  </si>
  <si>
    <t>Kalkulat. Gewinn</t>
  </si>
  <si>
    <t>Direktzahlungen</t>
  </si>
  <si>
    <t>Abschreibung Obstanlage</t>
  </si>
  <si>
    <t>Zinsanspruch pro Jahr</t>
  </si>
  <si>
    <t>Direktkosten</t>
  </si>
  <si>
    <t>Strukturkosten</t>
  </si>
  <si>
    <t>Lohnkosten extern</t>
  </si>
  <si>
    <t xml:space="preserve"> Akh gesamt nur Ernte</t>
  </si>
  <si>
    <t xml:space="preserve"> Anteil Akh gesamt für Ernte</t>
  </si>
  <si>
    <t>Akh externe Arbeitskräfte</t>
  </si>
  <si>
    <t xml:space="preserve">Arbeitseinkommen pro Akh          </t>
  </si>
  <si>
    <t>Produktionskosten-  / Leistungsvergleich</t>
  </si>
  <si>
    <t>als Leistung / Akh gesamt</t>
  </si>
  <si>
    <t>Was kostet die Ernte?</t>
  </si>
  <si>
    <t>Was kostet der Pflanzenschutz?</t>
  </si>
  <si>
    <t>Anzahl Durchfahrten</t>
  </si>
  <si>
    <t>Anzahl Mittel</t>
  </si>
  <si>
    <t>Fungizide</t>
  </si>
  <si>
    <t>Insektizide</t>
  </si>
  <si>
    <t>Behangsregulierung</t>
  </si>
  <si>
    <t>Erlös Brennkirschen</t>
  </si>
  <si>
    <t>ohne Direktzahlungen</t>
  </si>
  <si>
    <t>Vergleichbarer Deckungsbeitrag</t>
  </si>
  <si>
    <t>Produktionskosten pro ha</t>
  </si>
  <si>
    <t>Produktionskosten ohne Abschreibung 1. Stj.</t>
  </si>
  <si>
    <t>Produktionskosten ohne Abschreibung 16. Stj.</t>
  </si>
  <si>
    <t>Produktionskosten ohne Abschreibung 15. Stj.</t>
  </si>
  <si>
    <t>Produktionskosten ohne Abschreibung 14. Stj.</t>
  </si>
  <si>
    <t>Produktionskosten ohne Abschreibung 13. Stj.</t>
  </si>
  <si>
    <t>Produktionskosten ohne Abschreibung 12. Stj.</t>
  </si>
  <si>
    <t>Produktionskosten ohne Abschreibung 11. Stj.</t>
  </si>
  <si>
    <t>Produktionskosten ohne Abschreibung 10. Stj.</t>
  </si>
  <si>
    <t>Produktionskosten ohne Abschreibung 9. Stj.</t>
  </si>
  <si>
    <t>Produktionskosten ohne Abschreibung 8. Stj.</t>
  </si>
  <si>
    <t>Produktionskosten ohne Abschreibung 7. Stj.</t>
  </si>
  <si>
    <t>Produktionskosten ohne Abschreibung 6. Stj.</t>
  </si>
  <si>
    <t>Produktionskosten ohne Abschreibung 5. Stj.</t>
  </si>
  <si>
    <t>Produktionskosten ohne Abschreibung 4. Stj.</t>
  </si>
  <si>
    <t>Produktionskosten ohne Abschreibung 3. Stj.</t>
  </si>
  <si>
    <t>Produktionskosten ohne Abschreibung 2. Stj.</t>
  </si>
  <si>
    <t>Gliederung Kapitalkosten</t>
  </si>
  <si>
    <t>Anteil Sachkosten</t>
  </si>
  <si>
    <t>Was kostet der direkte Pflanzenschutz?</t>
  </si>
  <si>
    <t>Material</t>
  </si>
  <si>
    <t>Total Pflanzenschutz</t>
  </si>
  <si>
    <t>übrige Produktionskosten</t>
  </si>
  <si>
    <t>Zusammenfassung</t>
  </si>
  <si>
    <t>Anteil Pflanzenschutzkosten</t>
  </si>
  <si>
    <r>
      <t xml:space="preserve">Was kostet die Ernte? </t>
    </r>
    <r>
      <rPr>
        <sz val="14"/>
        <color indexed="9"/>
        <rFont val="Arial"/>
        <family val="2"/>
      </rPr>
      <t>(ohne Gebindekosten)</t>
    </r>
  </si>
  <si>
    <t>Total Ernte</t>
  </si>
  <si>
    <t>Anteil an Ernte</t>
  </si>
  <si>
    <t>Anteil Arbeitskosten</t>
  </si>
  <si>
    <t>Total Direktkosten</t>
  </si>
  <si>
    <t>Leistung</t>
  </si>
  <si>
    <t>Deckungsgrad</t>
  </si>
  <si>
    <t>Cashflow</t>
  </si>
  <si>
    <t>Gesamt-Cashflow nach 1. Stj.</t>
  </si>
  <si>
    <t>Gesamt-Cashflow nach 2. Stj.</t>
  </si>
  <si>
    <t>Gesamt-Cashflow nach 16. Stj.</t>
  </si>
  <si>
    <t>Gesamt-Cashflow nach 15. Stj.</t>
  </si>
  <si>
    <t>Gesamt-Cashflow nach 14. Stj.</t>
  </si>
  <si>
    <t>Gesamt-Cashflow nach 13. Stj.</t>
  </si>
  <si>
    <t>Gesamt-Cashflow nach 12. Stj.</t>
  </si>
  <si>
    <t>Gesamt-Cashflow nach 11. Stj.</t>
  </si>
  <si>
    <t>Gesamt-Cashflow nach 10. Stj.</t>
  </si>
  <si>
    <t>Gesamt-Cashflow nach 9. Stj.</t>
  </si>
  <si>
    <t>Gesamt-Cashflow nach 8. Stj.</t>
  </si>
  <si>
    <t>Gesamt-Cashflow nach 7. Stj.</t>
  </si>
  <si>
    <t>Gesamt-Cashflow nach 6. Stj.</t>
  </si>
  <si>
    <t>Gesamt-Cashflow nach 5. Stj.</t>
  </si>
  <si>
    <t>Gesamt-Cashflow nach 4. Stj.</t>
  </si>
  <si>
    <t>Gesamt-Cashflow nach 3. Stj.</t>
  </si>
  <si>
    <t>Geldflussrechnung</t>
  </si>
  <si>
    <r>
      <t xml:space="preserve">Cashflow nach der Erstellung </t>
    </r>
    <r>
      <rPr>
        <sz val="10"/>
        <rFont val="Arial"/>
        <family val="2"/>
      </rPr>
      <t xml:space="preserve">(inkl. Zaun, Regendach </t>
    </r>
    <r>
      <rPr>
        <b/>
        <sz val="10"/>
        <rFont val="Arial"/>
        <family val="2"/>
      </rPr>
      <t>ohne Folie</t>
    </r>
    <r>
      <rPr>
        <sz val="10"/>
        <rFont val="Arial"/>
        <family val="2"/>
      </rPr>
      <t xml:space="preserve"> und Bewässerungsanlage)</t>
    </r>
  </si>
  <si>
    <t>Basis: Obstanlagewert   =                               - Cashflow Ende 4. Stj.</t>
  </si>
  <si>
    <t>Kapitalfluss (Gesamtcashflow)</t>
  </si>
  <si>
    <r>
      <t>Pflanzdichte</t>
    </r>
    <r>
      <rPr>
        <sz val="10"/>
        <color indexed="8"/>
        <rFont val="Arial"/>
        <family val="2"/>
      </rPr>
      <t xml:space="preserve">   Bäume / ha</t>
    </r>
  </si>
  <si>
    <t xml:space="preserve">Maschinenkosten    </t>
  </si>
  <si>
    <t>Düngerkosten</t>
  </si>
  <si>
    <t xml:space="preserve">Pflanzenschutzmittelkosten     </t>
  </si>
  <si>
    <r>
      <t>Wasserpreis</t>
    </r>
    <r>
      <rPr>
        <sz val="10"/>
        <color indexed="8"/>
        <rFont val="Arial"/>
        <family val="2"/>
      </rPr>
      <t xml:space="preserve"> pro m³</t>
    </r>
  </si>
  <si>
    <t>Pneuwagen 2achsig, 3t (Ernte)</t>
  </si>
  <si>
    <r>
      <t>Standard Vorgaben</t>
    </r>
    <r>
      <rPr>
        <b/>
        <sz val="15"/>
        <color indexed="9"/>
        <rFont val="Arial"/>
        <family val="2"/>
      </rPr>
      <t xml:space="preserve">             </t>
    </r>
    <r>
      <rPr>
        <b/>
        <sz val="13"/>
        <color indexed="9"/>
        <rFont val="Arial"/>
        <family val="2"/>
      </rPr>
      <t>Seite 1</t>
    </r>
    <r>
      <rPr>
        <b/>
        <sz val="15"/>
        <color indexed="9"/>
        <rFont val="Arial"/>
        <family val="2"/>
      </rPr>
      <t xml:space="preserve">   </t>
    </r>
    <r>
      <rPr>
        <b/>
        <sz val="20"/>
        <color indexed="9"/>
        <rFont val="Arial"/>
        <family val="2"/>
      </rPr>
      <t xml:space="preserve">               </t>
    </r>
  </si>
  <si>
    <r>
      <t>Arbeiten</t>
    </r>
    <r>
      <rPr>
        <sz val="20"/>
        <rFont val="Arial"/>
        <family val="2"/>
      </rPr>
      <t xml:space="preserve"> ohne Maschinen</t>
    </r>
  </si>
  <si>
    <t>Fixe Installationen</t>
  </si>
  <si>
    <t>Kordia auf Gisela 5</t>
  </si>
  <si>
    <r>
      <t>Standard Vorgaben</t>
    </r>
    <r>
      <rPr>
        <b/>
        <sz val="15"/>
        <color indexed="9"/>
        <rFont val="Arial"/>
        <family val="2"/>
      </rPr>
      <t xml:space="preserve">             </t>
    </r>
    <r>
      <rPr>
        <b/>
        <sz val="13"/>
        <color indexed="9"/>
        <rFont val="Arial"/>
        <family val="2"/>
      </rPr>
      <t>Seite 2</t>
    </r>
    <r>
      <rPr>
        <b/>
        <sz val="15"/>
        <color indexed="9"/>
        <rFont val="Arial"/>
        <family val="2"/>
      </rPr>
      <t xml:space="preserve">   </t>
    </r>
    <r>
      <rPr>
        <b/>
        <sz val="20"/>
        <color indexed="9"/>
        <rFont val="Arial"/>
        <family val="2"/>
      </rPr>
      <t xml:space="preserve">               </t>
    </r>
  </si>
  <si>
    <t>Cashflowkurve  (Kapitalfluss)</t>
  </si>
  <si>
    <t>Variante 1ha</t>
  </si>
  <si>
    <r>
      <t>Rodekosten</t>
    </r>
    <r>
      <rPr>
        <sz val="11"/>
        <rFont val="Arial"/>
        <family val="2"/>
      </rPr>
      <t xml:space="preserve"> (Arbeit + Maschinen)</t>
    </r>
  </si>
  <si>
    <t>Gesamt-Cashflow nach 1 Stj.</t>
  </si>
  <si>
    <t xml:space="preserve">Für die Berechnung gewählte Produzentenpreise: </t>
  </si>
  <si>
    <t>Baumerziehung (Sommer + Winter)</t>
  </si>
  <si>
    <t>Vollkosten für 1 durchschnittliches Ertragsjahr</t>
  </si>
  <si>
    <r>
      <t>Bewässerung</t>
    </r>
    <r>
      <rPr>
        <b/>
        <sz val="10"/>
        <rFont val="Arial"/>
        <family val="2"/>
      </rPr>
      <t xml:space="preserve">                       </t>
    </r>
    <r>
      <rPr>
        <sz val="10"/>
        <rFont val="Arial"/>
        <family val="2"/>
      </rPr>
      <t>Wasser</t>
    </r>
  </si>
  <si>
    <r>
      <t>Gebäudekosten</t>
    </r>
    <r>
      <rPr>
        <b/>
        <sz val="10"/>
        <rFont val="Arial"/>
        <family val="2"/>
      </rPr>
      <t xml:space="preserve"> </t>
    </r>
    <r>
      <rPr>
        <sz val="10"/>
        <rFont val="Arial"/>
        <family val="2"/>
      </rPr>
      <t>(Sortierraum 30 m2, Materiallager 10 m2)</t>
    </r>
  </si>
  <si>
    <r>
      <t xml:space="preserve">Deckungsgrad </t>
    </r>
    <r>
      <rPr>
        <sz val="10"/>
        <rFont val="Arial"/>
        <family val="2"/>
      </rPr>
      <t>(Gesamterlös / Totale Produktionskosten)</t>
    </r>
  </si>
  <si>
    <r>
      <t xml:space="preserve">Cashflow </t>
    </r>
    <r>
      <rPr>
        <sz val="10"/>
        <rFont val="Arial"/>
        <family val="2"/>
      </rPr>
      <t>(kalk.Gewinn plus Abschreibung Obstanlage)</t>
    </r>
  </si>
  <si>
    <r>
      <t xml:space="preserve">Arbeitseinkommen </t>
    </r>
    <r>
      <rPr>
        <sz val="10"/>
        <rFont val="Arial"/>
        <family val="2"/>
      </rPr>
      <t>(Gesamterlös - Prod.ko ohne Arbeitskosten)</t>
    </r>
  </si>
  <si>
    <t>Schlüssel = Umsatzanteil = Anteil Rohertrag (RE)</t>
  </si>
  <si>
    <r>
      <t xml:space="preserve">Standard Erstellungskosten   </t>
    </r>
    <r>
      <rPr>
        <sz val="16"/>
        <color indexed="9"/>
        <rFont val="Arial"/>
        <family val="2"/>
      </rPr>
      <t/>
    </r>
  </si>
  <si>
    <r>
      <t xml:space="preserve">Variante Erstellungskosten   </t>
    </r>
    <r>
      <rPr>
        <sz val="16"/>
        <color indexed="9"/>
        <rFont val="Arial"/>
        <family val="2"/>
      </rPr>
      <t/>
    </r>
  </si>
  <si>
    <t>Nutzungsdauer:</t>
  </si>
  <si>
    <t>Baumerziehung 
(Sommer+Winter)</t>
  </si>
  <si>
    <t>Lieferung an Genossenschaft, 
Sortierung am Baum (baumfallend)</t>
  </si>
  <si>
    <t>Anteil externe Akh für Ernte:</t>
  </si>
  <si>
    <t>Baumerziehung
(Sommer+Winter)</t>
  </si>
  <si>
    <t>Kennzahlenübersicht   pro Ertragsjahr</t>
  </si>
  <si>
    <t xml:space="preserve">Produktionskosten      </t>
  </si>
  <si>
    <r>
      <t>Erstellungskosten</t>
    </r>
    <r>
      <rPr>
        <sz val="11"/>
        <rFont val="Arial"/>
        <family val="2"/>
      </rPr>
      <t xml:space="preserve"> </t>
    </r>
  </si>
  <si>
    <r>
      <t>Gliederung nach Kostenarten</t>
    </r>
    <r>
      <rPr>
        <b/>
        <i/>
        <sz val="17"/>
        <rFont val="Arial"/>
        <family val="2"/>
      </rPr>
      <t xml:space="preserve"> detailliert</t>
    </r>
  </si>
  <si>
    <t xml:space="preserve"> Produktionskosten Brennkirschen</t>
  </si>
  <si>
    <r>
      <t xml:space="preserve">Betriebsminimum </t>
    </r>
    <r>
      <rPr>
        <sz val="9"/>
        <rFont val="Arial"/>
        <family val="2"/>
      </rPr>
      <t>= laufende Kosten</t>
    </r>
  </si>
  <si>
    <r>
      <t xml:space="preserve">Kennzahlenübersicht  </t>
    </r>
    <r>
      <rPr>
        <sz val="17"/>
        <rFont val="Arial"/>
        <family val="2"/>
      </rPr>
      <t>pro Ertragsjahr</t>
    </r>
  </si>
  <si>
    <t>Produktionskosten  pro ha</t>
  </si>
  <si>
    <r>
      <t xml:space="preserve">Pflanzenschutz </t>
    </r>
    <r>
      <rPr>
        <sz val="10"/>
        <rFont val="Arial"/>
        <family val="2"/>
      </rPr>
      <t>(Material, Maschinen, Arbeit)</t>
    </r>
  </si>
  <si>
    <t>1 ha</t>
  </si>
  <si>
    <t>Ertragsphase:</t>
  </si>
  <si>
    <t>Aufbauphase:</t>
  </si>
  <si>
    <r>
      <t>Leistung</t>
    </r>
    <r>
      <rPr>
        <sz val="11"/>
        <rFont val="Arial"/>
        <family val="2"/>
      </rPr>
      <t xml:space="preserve"> (Gesamterlös)</t>
    </r>
  </si>
  <si>
    <r>
      <t>Produktionskosten</t>
    </r>
    <r>
      <rPr>
        <sz val="12"/>
        <rFont val="Arial"/>
        <family val="2"/>
      </rPr>
      <t xml:space="preserve"> pro ha</t>
    </r>
  </si>
  <si>
    <t>Produktionskosten durchschnittlich 
über alle Klassen</t>
  </si>
  <si>
    <t>Mulchgerät mit Schwenkarm, 2.8m</t>
  </si>
  <si>
    <t>Liter / ha</t>
  </si>
  <si>
    <t>Traktor 4-Rad 50 kW</t>
  </si>
  <si>
    <t>Obstbautraktor 4-Rad</t>
  </si>
  <si>
    <t>Sprinkleranlage: Kontrolle, Spühlung</t>
  </si>
  <si>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</si>
  <si>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</si>
  <si>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</si>
  <si>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</si>
  <si>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</si>
  <si>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</si>
  <si>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</si>
  <si>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 xml:space="preserve">Bewässerung                               </t>
    </r>
    <r>
      <rPr>
        <sz val="10"/>
        <rFont val="Arial"/>
        <family val="2"/>
      </rPr>
      <t>Wasser</t>
    </r>
  </si>
  <si>
    <r>
      <t>Variante Vorgaben</t>
    </r>
    <r>
      <rPr>
        <b/>
        <sz val="15"/>
        <color indexed="9"/>
        <rFont val="Arial"/>
        <family val="2"/>
      </rPr>
      <t xml:space="preserve">             </t>
    </r>
    <r>
      <rPr>
        <b/>
        <sz val="13"/>
        <color indexed="9"/>
        <rFont val="Arial"/>
        <family val="2"/>
      </rPr>
      <t>Seite 1</t>
    </r>
    <r>
      <rPr>
        <b/>
        <sz val="15"/>
        <color indexed="9"/>
        <rFont val="Arial"/>
        <family val="2"/>
      </rPr>
      <t xml:space="preserve">   </t>
    </r>
    <r>
      <rPr>
        <b/>
        <sz val="20"/>
        <color indexed="9"/>
        <rFont val="Arial"/>
        <family val="2"/>
      </rPr>
      <t xml:space="preserve">               </t>
    </r>
  </si>
  <si>
    <t>7 Jahre</t>
  </si>
  <si>
    <t>Arbeitskosten jährlich</t>
  </si>
  <si>
    <t>Ernteschutznetz: Ein- und Ausrollen</t>
  </si>
  <si>
    <t>1j.V.</t>
  </si>
  <si>
    <r>
      <t xml:space="preserve">Variante Vorgaben           </t>
    </r>
    <r>
      <rPr>
        <b/>
        <sz val="13"/>
        <color indexed="9"/>
        <rFont val="Arial"/>
        <family val="2"/>
      </rPr>
      <t>Seite 2</t>
    </r>
    <r>
      <rPr>
        <b/>
        <sz val="20"/>
        <color indexed="9"/>
        <rFont val="Arial"/>
        <family val="2"/>
      </rPr>
      <t xml:space="preserve">                  </t>
    </r>
  </si>
  <si>
    <t>Lieferung an Genossenschaft,
 Sortierung am Baum (baumfallend)</t>
  </si>
  <si>
    <r>
      <t>Preise</t>
    </r>
    <r>
      <rPr>
        <sz val="14"/>
        <color indexed="8"/>
        <rFont val="Arial"/>
        <family val="2"/>
      </rPr>
      <t xml:space="preserve"> (ohne Kalibrierungs- und sonstige Sortierkosten)</t>
    </r>
    <r>
      <rPr>
        <b/>
        <sz val="20"/>
        <color indexed="8"/>
        <rFont val="Arial"/>
        <family val="2"/>
      </rPr>
      <t xml:space="preserve">   </t>
    </r>
  </si>
  <si>
    <t>Betriebsleiter</t>
  </si>
  <si>
    <r>
      <t xml:space="preserve">Lohnkosten brutto </t>
    </r>
    <r>
      <rPr>
        <sz val="10"/>
        <color indexed="8"/>
        <rFont val="Arial"/>
        <family val="2"/>
      </rPr>
      <t>Betriebsleiter</t>
    </r>
  </si>
  <si>
    <t>Durchschnitt (berechnet) alle</t>
  </si>
  <si>
    <t>Durchschnitt (berechnet) Leiter u. intern</t>
  </si>
  <si>
    <t>Fr. / h</t>
  </si>
  <si>
    <t>Kommentar: Auslastung gemäss ART evt. im Durchschnitt zu hoch, d.h. Ansätze eher zu klein.</t>
  </si>
  <si>
    <t>Quelle: Anbauempfehlung Obstregion NW-CH 2007</t>
  </si>
  <si>
    <t>Montage/Demontage</t>
  </si>
  <si>
    <t>Maschinenkosten</t>
  </si>
  <si>
    <t>inkl. Ausstecken, Pfähle verteilen, Pfählen</t>
  </si>
  <si>
    <t>Folienrollgerätkosten (überbetrieblicher Einsatz)</t>
  </si>
  <si>
    <t xml:space="preserve">Bewässerungsanlage: Mikrosprinkler </t>
  </si>
  <si>
    <t>Verteilanlage</t>
  </si>
  <si>
    <t>Kopfstation</t>
  </si>
  <si>
    <t>Hauptleitung graben/verlegen</t>
  </si>
  <si>
    <t>Tropfschlauch auslegen u. montieren</t>
  </si>
  <si>
    <t>Sprinkler montieren</t>
  </si>
  <si>
    <t>Kleinbagger bedienen</t>
  </si>
  <si>
    <t>Kopfstation einrichten</t>
  </si>
  <si>
    <t>Verlustzeiten</t>
  </si>
  <si>
    <t xml:space="preserve"> </t>
  </si>
  <si>
    <t>Produktionskosten Premium    Fr./kg</t>
  </si>
  <si>
    <t>Blattdüngung</t>
  </si>
  <si>
    <t>Lieferung an Genossenschaft,
Ernte inkl. Sortierung ohne maschinelles kalibrieren</t>
  </si>
  <si>
    <t>branchenbeiträge</t>
  </si>
  <si>
    <t>Durchschnitt intern + extern</t>
  </si>
  <si>
    <r>
      <t>Ernteleistung</t>
    </r>
    <r>
      <rPr>
        <sz val="10"/>
        <color indexed="8"/>
        <rFont val="Arial"/>
        <family val="2"/>
      </rPr>
      <t xml:space="preserve"> (baumfallend)    </t>
    </r>
    <r>
      <rPr>
        <b/>
        <sz val="10"/>
        <color indexed="8"/>
        <rFont val="Arial"/>
        <family val="2"/>
      </rPr>
      <t xml:space="preserve"> </t>
    </r>
  </si>
  <si>
    <t>Lieferung an Genossenschaft,
Ernte inkl. Sortieren ohne maschinelles kalibrieren</t>
  </si>
  <si>
    <t>Anbaugebläsepritze 1000 l</t>
  </si>
  <si>
    <t>Obstbautraktor 4-Rad (45-54 kW, 61-73 PS)</t>
  </si>
  <si>
    <t xml:space="preserve">Bodenfräse mit Stabkrümler 2.1m </t>
  </si>
  <si>
    <t>Kleiner Baumpfahl, 125 cm</t>
  </si>
  <si>
    <t xml:space="preserve">  </t>
  </si>
  <si>
    <r>
      <t xml:space="preserve">   Deckungsgrad</t>
    </r>
    <r>
      <rPr>
        <b/>
        <sz val="10"/>
        <rFont val="Arial"/>
        <family val="2"/>
      </rPr>
      <t xml:space="preserve"> = </t>
    </r>
    <r>
      <rPr>
        <sz val="10"/>
        <rFont val="Arial"/>
        <family val="2"/>
      </rPr>
      <t>Leistung / Produktionskosten</t>
    </r>
  </si>
  <si>
    <r>
      <t>Rentabilität</t>
    </r>
    <r>
      <rPr>
        <sz val="11"/>
        <rFont val="Arial"/>
        <family val="2"/>
      </rPr>
      <t xml:space="preserve"> = </t>
    </r>
    <r>
      <rPr>
        <sz val="10"/>
        <rFont val="Arial"/>
        <family val="2"/>
      </rPr>
      <t xml:space="preserve">Eigenkapitalsrente (kalk. Gewinn + Zinsanspruch) pro investiertem Kapital </t>
    </r>
  </si>
  <si>
    <r>
      <t xml:space="preserve">Gesamtinvestition          </t>
    </r>
    <r>
      <rPr>
        <sz val="10"/>
        <rFont val="Arial"/>
        <family val="2"/>
      </rPr>
      <t>(GesamtCashflow am Ende der Aufbauphase = Basis für die Abschreibung)</t>
    </r>
  </si>
  <si>
    <r>
      <t xml:space="preserve">Cashflow </t>
    </r>
    <r>
      <rPr>
        <sz val="10"/>
        <rFont val="Arial"/>
        <family val="2"/>
      </rPr>
      <t>(kalk. Gewinn plus Abschreibung Obstanlage)</t>
    </r>
  </si>
  <si>
    <r>
      <t>Vergleichbarer Deckungsbeitrag</t>
    </r>
    <r>
      <rPr>
        <sz val="11"/>
        <rFont val="Arial"/>
        <family val="2"/>
      </rPr>
      <t xml:space="preserve">       </t>
    </r>
    <r>
      <rPr>
        <sz val="10"/>
        <rFont val="Arial"/>
        <family val="2"/>
      </rPr>
      <t>(früher DfE)</t>
    </r>
  </si>
  <si>
    <r>
      <t>Erwirtschaftetes Kapital</t>
    </r>
    <r>
      <rPr>
        <sz val="11"/>
        <rFont val="Arial"/>
        <family val="2"/>
      </rPr>
      <t xml:space="preserve"> </t>
    </r>
    <r>
      <rPr>
        <sz val="10"/>
        <rFont val="Arial"/>
        <family val="2"/>
      </rPr>
      <t>am Ende der Ertragsphase</t>
    </r>
  </si>
  <si>
    <r>
      <t>Arbeitseinkommen</t>
    </r>
    <r>
      <rPr>
        <sz val="10"/>
        <rFont val="Arial"/>
        <family val="2"/>
      </rPr>
      <t xml:space="preserve"> = Leistung - Produktionskosten ohne Arbeit</t>
    </r>
  </si>
  <si>
    <r>
      <t>Arbeitseinkommen</t>
    </r>
    <r>
      <rPr>
        <sz val="11"/>
        <rFont val="Arial"/>
        <family val="2"/>
      </rPr>
      <t xml:space="preserve"> </t>
    </r>
    <r>
      <rPr>
        <b/>
        <sz val="11"/>
        <rFont val="Arial"/>
        <family val="2"/>
      </rPr>
      <t xml:space="preserve">intern </t>
    </r>
    <r>
      <rPr>
        <sz val="11"/>
        <rFont val="Arial"/>
        <family val="2"/>
      </rPr>
      <t xml:space="preserve">= </t>
    </r>
    <r>
      <rPr>
        <sz val="10"/>
        <rFont val="Arial"/>
        <family val="2"/>
      </rPr>
      <t>Arbeitseinkommen - Lohnkosten extern</t>
    </r>
  </si>
  <si>
    <r>
      <t xml:space="preserve">Arbeitseinkommen pro Akh  </t>
    </r>
    <r>
      <rPr>
        <b/>
        <i/>
        <sz val="11"/>
        <rFont val="Arial"/>
        <family val="2"/>
      </rPr>
      <t>intern</t>
    </r>
  </si>
  <si>
    <t>Abzüge und Branchenbeiträge</t>
  </si>
  <si>
    <t>pro kg</t>
  </si>
  <si>
    <t xml:space="preserve">                                       22+ mm</t>
  </si>
  <si>
    <t xml:space="preserve"> 22+ mm</t>
  </si>
  <si>
    <t xml:space="preserve"> Abgang</t>
  </si>
  <si>
    <t>Frostbekämpfung - Forstversicherung</t>
  </si>
  <si>
    <t>Jährliche Kosten Frostbkämpfung</t>
  </si>
  <si>
    <t>Frostbekämpfung</t>
  </si>
  <si>
    <t>Hebebühne für Folienmontage und Schnitt</t>
  </si>
  <si>
    <t>Fungzide</t>
  </si>
  <si>
    <t>Fahrten Anbaugebläsespritze</t>
  </si>
  <si>
    <t>Pflanzenbehandlungsmittel und Blattdüngung</t>
  </si>
  <si>
    <t>@copyright: Weitergabe der Kalkulationen nur mit Genemigung von Agroscope. Alle Angaben ohne Gewähr.</t>
  </si>
  <si>
    <t>Teuerung 2015-2023 (Baumaterialien gemäss Bundesamt für Statistik)</t>
  </si>
  <si>
    <t>Bio</t>
  </si>
  <si>
    <t>Grundgerüst mit Betonpfählen</t>
  </si>
  <si>
    <t>Drahtgerüst</t>
  </si>
  <si>
    <t>Eingänge</t>
  </si>
  <si>
    <t>Bagger</t>
  </si>
  <si>
    <t>Folienabdeckung</t>
  </si>
  <si>
    <t>Einnetzung</t>
  </si>
  <si>
    <t>Grundgerüst</t>
  </si>
  <si>
    <t>Netz</t>
  </si>
  <si>
    <t>h/ha</t>
  </si>
  <si>
    <t>Jährliche Kosten</t>
  </si>
  <si>
    <t>Jährliche Kosten für Montage/Demontage der Einnetzung</t>
  </si>
  <si>
    <t>Kosten für jährliche Montage/Demontage Einnetzung</t>
  </si>
  <si>
    <r>
      <t xml:space="preserve">Erstellungskosten Anlage  </t>
    </r>
    <r>
      <rPr>
        <sz val="14"/>
        <rFont val="Arial"/>
        <family val="2"/>
      </rPr>
      <t xml:space="preserve"> </t>
    </r>
    <r>
      <rPr>
        <sz val="12"/>
        <rFont val="Arial"/>
        <family val="2"/>
      </rPr>
      <t xml:space="preserve">Pflanzlöcher von Hand (keine Setzmaschine) </t>
    </r>
  </si>
  <si>
    <t>Folie</t>
  </si>
  <si>
    <t>Abzüge Branchenbeiträge</t>
  </si>
  <si>
    <r>
      <t>Total Erstellungskosten</t>
    </r>
    <r>
      <rPr>
        <b/>
        <sz val="14"/>
        <color rgb="FFFFFFFF"/>
        <rFont val="Arial"/>
        <family val="2"/>
      </rPr>
      <t xml:space="preserve"> Anlage </t>
    </r>
    <r>
      <rPr>
        <b/>
        <sz val="10"/>
        <color rgb="FFFFFFFF"/>
        <rFont val="Arial"/>
        <family val="2"/>
      </rPr>
      <t>(ohne Zaun)</t>
    </r>
  </si>
  <si>
    <t>Hagelnetzabdeckung</t>
  </si>
  <si>
    <t>Totale Erstellungskosten Anlage und Gerüst für Folienabdeckung</t>
  </si>
  <si>
    <t>Gerüst erstellen</t>
  </si>
  <si>
    <t>Erstellungskosten Folie, Hagelnetz &amp; Einnetzung</t>
  </si>
  <si>
    <r>
      <rPr>
        <b/>
        <sz val="16"/>
        <color rgb="FFFFFFFF"/>
        <rFont val="Arial"/>
        <family val="2"/>
      </rPr>
      <t xml:space="preserve">Totale Erstellungskosten Anlage </t>
    </r>
    <r>
      <rPr>
        <b/>
        <sz val="10"/>
        <color rgb="FFFFFFFF"/>
        <rFont val="Arial"/>
        <family val="2"/>
      </rPr>
      <t>mit Gerüst &amp; Bewässerungsanlage</t>
    </r>
  </si>
  <si>
    <t>Erstellungskosten Anlage mit Gerüst &amp; Bewässerungsanlage</t>
  </si>
  <si>
    <t>Jährliche Kosten für Betrieb Bewässerungsanlage</t>
  </si>
  <si>
    <t>Kosten für jährlichen Betrieb Bewässerungsanlage</t>
  </si>
  <si>
    <t>Kosten Ersatz Folie</t>
  </si>
  <si>
    <r>
      <t xml:space="preserve">Ersatz Folie </t>
    </r>
    <r>
      <rPr>
        <sz val="12"/>
        <rFont val="Arial"/>
        <family val="2"/>
      </rPr>
      <t>(alle 5 Jahre)</t>
    </r>
  </si>
  <si>
    <r>
      <t xml:space="preserve">Cashflow nach der Erstellung </t>
    </r>
    <r>
      <rPr>
        <sz val="10"/>
        <rFont val="Arial"/>
        <family val="2"/>
      </rPr>
      <t>(Anlage mit Gerüst ohne Folie und Bewässerungsanlage)</t>
    </r>
  </si>
  <si>
    <r>
      <rPr>
        <b/>
        <sz val="14"/>
        <rFont val="Arial"/>
        <family val="2"/>
      </rPr>
      <t xml:space="preserve">Erstellung Gerüst für Folienabdeckung, ohne Folie </t>
    </r>
    <r>
      <rPr>
        <sz val="12"/>
        <rFont val="Arial"/>
        <family val="2"/>
      </rPr>
      <t>(System Pilatus)</t>
    </r>
  </si>
  <si>
    <t>Erstellungskosten Gerüst für Folienabdeckung, ohne Folie</t>
  </si>
  <si>
    <t>Total Erstellungskosten Anlage &amp; Gerüst ohne Folie</t>
  </si>
  <si>
    <r>
      <rPr>
        <b/>
        <sz val="14"/>
        <rFont val="Arial"/>
        <family val="2"/>
      </rPr>
      <t>Erstellung Folie, Hagelnetz &amp; Einnetzung</t>
    </r>
    <r>
      <rPr>
        <sz val="14"/>
        <rFont val="Arial"/>
        <family val="2"/>
      </rPr>
      <t xml:space="preserve"> </t>
    </r>
    <r>
      <rPr>
        <sz val="12"/>
        <rFont val="Arial"/>
        <family val="2"/>
      </rPr>
      <t>(System Pilatus)</t>
    </r>
  </si>
  <si>
    <t>Hagelnetz</t>
  </si>
  <si>
    <t>Hagelnetz (ja = 1, nein = 0)</t>
  </si>
  <si>
    <t>Jährliche Kosten für Öffnen und Schliessen der Hagelnetze</t>
  </si>
  <si>
    <t>Öffnen/Schliessen</t>
  </si>
  <si>
    <t>Hagelnetz: Öffnen + Schliessen</t>
  </si>
  <si>
    <t>Anzahl tatsächlich</t>
  </si>
  <si>
    <t>Hagelnetze öffnen und schliessen</t>
  </si>
  <si>
    <t>Hebebühne schwer, selbstfahrend, elektrisch</t>
  </si>
  <si>
    <t xml:space="preserve">Hagelnetze öffnen und schliessen </t>
  </si>
  <si>
    <t>Ja, Netz im 3. Stj. und 10. Stj.</t>
  </si>
  <si>
    <t>Niederstammanlage mit Regendach, Einnetzung, Bewässerung, Hagelnetz optional</t>
  </si>
  <si>
    <t>Folie und Einnetzung</t>
  </si>
  <si>
    <t>Jahreskosten Folie, Einnetzung, Bewässerung &amp; Hagelnetz</t>
  </si>
  <si>
    <t>Maschinenkosten für Erstellung Folie, Einnetzung und falls vorhanden Hagelnetz</t>
  </si>
  <si>
    <t>Arbeitskosten (Betriebsleiter und intern) für Erstellung Folie, Einnetzung und falls vorhanden Hagelnetz</t>
  </si>
  <si>
    <r>
      <t xml:space="preserve">Ersatz Einnetzung und Hagelnetz </t>
    </r>
    <r>
      <rPr>
        <sz val="12"/>
        <rFont val="Arial"/>
        <family val="2"/>
      </rPr>
      <t>(alle 7 Jahre)</t>
    </r>
  </si>
  <si>
    <t>Einnetzung (Netz)</t>
  </si>
  <si>
    <t>Abmessen</t>
  </si>
  <si>
    <t>Kosten für jährliches Öffnen und Schliessen Hagelnetz</t>
  </si>
  <si>
    <r>
      <t>Einnetzung</t>
    </r>
    <r>
      <rPr>
        <b/>
        <sz val="8"/>
        <color rgb="FFFFFFFF"/>
        <rFont val="Arial"/>
        <family val="2"/>
      </rPr>
      <t xml:space="preserve"> </t>
    </r>
    <r>
      <rPr>
        <sz val="8"/>
        <color rgb="FFFFFFFF"/>
        <rFont val="Arial"/>
        <family val="2"/>
      </rPr>
      <t>(inkl. Grundgerüst und Eingänge)</t>
    </r>
  </si>
  <si>
    <t>1. Montage Folie, Einnetzung</t>
  </si>
  <si>
    <t>1. Montage Hagelnetz</t>
  </si>
  <si>
    <t>Einnetzung: Ein- und Ausrollen</t>
  </si>
  <si>
    <t>Esatz Folie</t>
  </si>
  <si>
    <t>Ersatz Einnetzung</t>
  </si>
  <si>
    <t>Ersatz Hagelnetz</t>
  </si>
  <si>
    <t>Regendachfolie:  Aus- und Einrollen</t>
  </si>
  <si>
    <t>Hagelnetz: Montage + Schliessen</t>
  </si>
  <si>
    <t>Einnetzung: Montage + Einrollen</t>
  </si>
  <si>
    <t>Einnetzung, Hagelnetz</t>
  </si>
  <si>
    <r>
      <t>Abschreibung Kirschenanlage</t>
    </r>
    <r>
      <rPr>
        <b/>
        <sz val="10"/>
        <rFont val="Arial"/>
        <family val="2"/>
      </rPr>
      <t xml:space="preserve"> </t>
    </r>
    <r>
      <rPr>
        <sz val="9"/>
        <rFont val="Arial"/>
        <family val="2"/>
      </rPr>
      <t>(inkl. Regendach mit 1x Folie, Einnetzung 1x, optionalem Hagelnetz und Bewässerungsanlage)</t>
    </r>
  </si>
  <si>
    <t>Abschreibung 2. Einnetzung und optional Hagelnetz</t>
  </si>
  <si>
    <t>l, kg pro ha</t>
  </si>
  <si>
    <t>Preis pro Einheit</t>
  </si>
  <si>
    <t>Kupfer</t>
  </si>
  <si>
    <t>Myco-Sin</t>
  </si>
  <si>
    <t>Weissöl</t>
  </si>
  <si>
    <t>NeemAzal</t>
  </si>
  <si>
    <t>Natural</t>
  </si>
  <si>
    <t>Pyrethrum FS</t>
  </si>
  <si>
    <t>Fahrten Hackgerät</t>
  </si>
  <si>
    <t>Fahrten Fadengerät</t>
  </si>
  <si>
    <t>Ertragsphase (5. - 16. Stj.)</t>
  </si>
  <si>
    <t>Kompost (Trockensubstanz)</t>
  </si>
  <si>
    <t>Anhängegebläsespritze, 1000l Fass, mit Bordcomputer</t>
  </si>
  <si>
    <t>Kompoststreuer für Obstanlagen, um 3m³</t>
  </si>
  <si>
    <t>Hackgerät Ladurner, einseitig</t>
  </si>
  <si>
    <t>berechnet aus Anzahl mech. Unkrautbekämpfung</t>
  </si>
  <si>
    <t>Mist 
(Frischsubstanz)</t>
  </si>
  <si>
    <t>Mulchgerät mit beids. Schwenkarm, 2.8m</t>
  </si>
  <si>
    <t>4. Stj.</t>
  </si>
  <si>
    <t>VK pro ha</t>
  </si>
  <si>
    <t>Behangsregulierung (von Hand)</t>
  </si>
  <si>
    <t xml:space="preserve">                                       Abgang</t>
  </si>
  <si>
    <t>Erlös KL. 22+ mm</t>
  </si>
  <si>
    <t>Produktionskosten Kl. 22+ mm</t>
  </si>
  <si>
    <r>
      <t>Arbeitsproduktivität</t>
    </r>
    <r>
      <rPr>
        <sz val="11"/>
        <rFont val="Arial"/>
        <family val="2"/>
      </rPr>
      <t xml:space="preserve">  </t>
    </r>
    <r>
      <rPr>
        <sz val="10"/>
        <rFont val="Arial"/>
        <family val="2"/>
      </rPr>
      <t>als kg Kl. 22+ mm / Akh gesamt</t>
    </r>
  </si>
  <si>
    <t>kg 22+ mm pro Arbeitskraftstunde</t>
  </si>
  <si>
    <t>Anhängegebläsespritze, 1000l Fass</t>
  </si>
  <si>
    <t>Hackgerät Ladurner</t>
  </si>
  <si>
    <t>Fadengerät gegen Unkraut</t>
  </si>
  <si>
    <t>Düngung:</t>
  </si>
  <si>
    <t>Direktzahlungen Bio</t>
  </si>
  <si>
    <r>
      <t xml:space="preserve">Direktzahlungen </t>
    </r>
    <r>
      <rPr>
        <sz val="11"/>
        <rFont val="Arial"/>
        <family val="2"/>
      </rPr>
      <t>Bio</t>
    </r>
  </si>
  <si>
    <r>
      <t xml:space="preserve">Erstellungskosten Anlage   </t>
    </r>
    <r>
      <rPr>
        <sz val="16"/>
        <rFont val="Arial"/>
        <family val="2"/>
      </rPr>
      <t xml:space="preserve"> </t>
    </r>
    <r>
      <rPr>
        <sz val="12"/>
        <rFont val="Arial"/>
        <family val="2"/>
      </rPr>
      <t xml:space="preserve">Pflanzlöcher von Hand (keine Setzmaschine) </t>
    </r>
  </si>
  <si>
    <r>
      <t>Diverse Kosten</t>
    </r>
    <r>
      <rPr>
        <b/>
        <sz val="10"/>
        <color indexed="8"/>
        <rFont val="Arial"/>
        <family val="2"/>
      </rPr>
      <t xml:space="preserve">            </t>
    </r>
    <r>
      <rPr>
        <sz val="10"/>
        <color indexed="8"/>
        <rFont val="Arial"/>
        <family val="2"/>
      </rPr>
      <t>Ersatzmaterial 400.-  +  Bürom</t>
    </r>
    <r>
      <rPr>
        <sz val="10"/>
        <color rgb="FF000000"/>
        <rFont val="Arial"/>
        <family val="2"/>
      </rPr>
      <t>aterial 200.-  +  Rodekostenanteil abgezinst</t>
    </r>
  </si>
  <si>
    <t>Gesamterlös</t>
  </si>
  <si>
    <t>Gesamerlös</t>
  </si>
  <si>
    <t>berechnet aus Anzahl Mist/Kompost</t>
  </si>
  <si>
    <t>Netzschwefel Stulln</t>
  </si>
  <si>
    <t>Fadengerät gegen Unkraut, einseitig</t>
  </si>
  <si>
    <t>Teuerung Erstellungskosten 2015-2023 (Baumaterialien gemäss Bundesamt für Statistik)</t>
  </si>
  <si>
    <t>pro Jahr (ab 3. Stj.)</t>
  </si>
  <si>
    <t>pro Jahr (1. und 2. Stj.)</t>
  </si>
  <si>
    <t>Aufbauphase (3. + 4. Stj.)</t>
  </si>
  <si>
    <t>Aufbauphase (1. + 2. Stj.)</t>
  </si>
  <si>
    <t>Rückensprühgerät, 25 l, Benzin</t>
  </si>
  <si>
    <t>Rückensprühgerät Anzahl Durchgänge</t>
  </si>
  <si>
    <t>Zitierungshinweis: Prevost M., Bravin E., Carint D., Zürcher M., Mouron P., Arbokost 2024, Agroscope, arbokost.agroscope.ch</t>
  </si>
  <si>
    <t>Ja, Folie im 3. Stj. und 9. Stj.</t>
  </si>
  <si>
    <r>
      <t>Quelle:</t>
    </r>
    <r>
      <rPr>
        <sz val="12"/>
        <color indexed="9"/>
        <rFont val="Arial"/>
        <family val="2"/>
      </rPr>
      <t xml:space="preserve"> Expertenschätzung von Produzenten, kantonalen Fachstellen, FiBL und Agroscope</t>
    </r>
  </si>
  <si>
    <t>Mit Regendach, Bewässerung, Einnetzung
&gt; nicht abgepackte, lose Ware</t>
  </si>
  <si>
    <t>Arbokost 2024</t>
  </si>
  <si>
    <t>Biorga N (12 %)</t>
  </si>
  <si>
    <t>Abzug für Transport</t>
  </si>
  <si>
    <t>Abzug</t>
  </si>
  <si>
    <t>Einnetzung, Hagelnetz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</si>
</sst>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164" formatCode="&quot;Fr.&quot;\ #,##0;&quot;Fr.&quot;\ \-#,##0"/>
    <numFmt numFmtId="165" formatCode="&quot;Fr.&quot;\ #,##0.00;&quot;Fr.&quot;\ \-#,##0.00"/>
    <numFmt numFmtId="166" formatCode="0.0"/>
    <numFmt numFmtId="167" formatCode="0.00\ &quot;Fr.&quot;"/>
    <numFmt numFmtId="168" formatCode="\ #,##0\ &quot;Fr.&quot;"/>
    <numFmt numFmtId="169" formatCode="h"/>
    <numFmt numFmtId="170" formatCode="\ #,##0\ \k\g"/>
    <numFmt numFmtId="171" formatCode="0.0\ \k\g"/>
    <numFmt numFmtId="172" formatCode="0\ \J"/>
    <numFmt numFmtId="173" formatCode="0.0%"/>
    <numFmt numFmtId="174" formatCode="#,##0.0"/>
    <numFmt numFmtId="175" formatCode="0.00\ \k\g"/>
    <numFmt numFmtId="176" formatCode="#,##0\ &quot;Bäume&quot;"/>
    <numFmt numFmtId="177" formatCode="0.00\ &quot;Fr./kg&quot;"/>
    <numFmt numFmtId="178" formatCode="&quot;Fr.&quot;\ 0.00"/>
    <numFmt numFmtId="179" formatCode="#,##0\ &quot;kg / ha&quot;"/>
    <numFmt numFmtId="180" formatCode="#,##0\ &quot;kg / h&quot;"/>
    <numFmt numFmtId="181" formatCode="0.00\ &quot;Fr./ h&quot;"/>
    <numFmt numFmtId="182" formatCode="0.00\ &quot;Fr./ kg&quot;"/>
    <numFmt numFmtId="183" formatCode="0\ &quot;Akh&quot;"/>
    <numFmt numFmtId="184" formatCode="0.00\ &quot;Fr./ ha&quot;"/>
    <numFmt numFmtId="185" formatCode="0\ &quot;h / ha&quot;"/>
    <numFmt numFmtId="186" formatCode="0\ &quot;m&quot;"/>
    <numFmt numFmtId="187" formatCode="&quot;Faktor&quot;\ 0.0"/>
    <numFmt numFmtId="188" formatCode="0\ &quot;Fuder&quot;"/>
    <numFmt numFmtId="189" formatCode="0\ &quot;h&quot;"/>
    <numFmt numFmtId="190" formatCode="0\ &quot;m2&quot;"/>
    <numFmt numFmtId="191" formatCode="#,##0\ &quot;Bäume/ha&quot;"/>
    <numFmt numFmtId="192" formatCode="#,##0\ &quot;Fr.&quot;"/>
    <numFmt numFmtId="193" formatCode="0.00\ &quot;Fr./Fu&quot;"/>
    <numFmt numFmtId="194" formatCode="\ #,##0\ &quot;h&quot;"/>
    <numFmt numFmtId="195" formatCode="\ #,###.00\ &quot;Fr.&quot;\ "/>
    <numFmt numFmtId="196" formatCode="\ #,###\ &quot;Fr.&quot;\ "/>
    <numFmt numFmtId="197" formatCode="0\ &quot;Jahre&quot;"/>
    <numFmt numFmtId="198" formatCode="0.0\ &quot;m&quot;"/>
    <numFmt numFmtId="199" formatCode="0\ &quot;x&quot;"/>
    <numFmt numFmtId="200" formatCode="#,##0.00\ &quot;Fr.&quot;"/>
    <numFmt numFmtId="201" formatCode="0.00\ &quot;Fr./h&quot;"/>
    <numFmt numFmtId="202" formatCode="0.00\ &quot;von Erntestd.&quot;"/>
    <numFmt numFmtId="203" formatCode="#,##0\ &quot;Fr./J.&quot;"/>
    <numFmt numFmtId="204" formatCode="0.00\ &quot;v. Erntestd.&quot;"/>
    <numFmt numFmtId="205" formatCode="#,##0\ &quot;Akh&quot;"/>
    <numFmt numFmtId="206" formatCode="0.00\ &quot;von Akh&quot;"/>
    <numFmt numFmtId="207" formatCode="0.00\ &quot;Fr./100kg&quot;"/>
    <numFmt numFmtId="208" formatCode="#,##0\ &quot;m2&quot;"/>
    <numFmt numFmtId="209" formatCode="#,##0\ &quot;h&quot;"/>
    <numFmt numFmtId="210" formatCode="#,##0\ &quot;lfm&quot;"/>
    <numFmt numFmtId="211" formatCode="#,##0\ &quot;m3&quot;"/>
    <numFmt numFmtId="212" formatCode="0.00\ &quot;Fr./m3&quot;"/>
    <numFmt numFmtId="213" formatCode="#,##0.0\ &quot;kg / h&quot;"/>
    <numFmt numFmtId="214" formatCode="0\ &quot;Bäume/ha&quot;"/>
    <numFmt numFmtId="215" formatCode="0\ &quot;Fr./ ha&quot;"/>
    <numFmt numFmtId="216" formatCode="#,##0\ &quot;gerundet&quot;"/>
    <numFmt numFmtId="217" formatCode="0\ &quot;kg/h&quot;"/>
    <numFmt numFmtId="218" formatCode="#,##0\ &quot;Fr./ha&quot;"/>
    <numFmt numFmtId="219" formatCode="\ #,###\ &quot;Fr./ha&quot;"/>
    <numFmt numFmtId="220" formatCode="#,##0\ &quot;Fahrten&quot;"/>
    <numFmt numFmtId="221" formatCode="#,##0\ &quot;Fr./h&quot;"/>
    <numFmt numFmtId="222" formatCode="&quot;CHF&quot;\ #,##0.00"/>
    <numFmt numFmtId="223" formatCode="\ #,##0.00\ &quot;Fr.&quot;\ "/>
    <numFmt numFmtId="224" formatCode="0.00\ \F\r."/>
  </numFmts>
  <fonts count="106" x14ac:knownFonts="1">
    <font>
      <sz val="10"/>
      <name val="Arial"/>
    </font>
    <font>
      <b/>
      <sz val="10"/>
      <name val="Arial"/>
      <family val="2"/>
    </font>
    <font>
      <i/>
      <sz val="10"/>
      <name val="Arial"/>
      <family val="2"/>
    </font>
    <font>
      <sz val="10"/>
      <name val="Arial"/>
      <family val="2"/>
    </font>
    <font>
      <b/>
      <sz val="20"/>
      <name val="Arial"/>
      <family val="2"/>
    </font>
    <font>
      <b/>
      <sz val="12"/>
      <name val="Arial"/>
      <family val="2"/>
    </font>
    <font>
      <sz val="8"/>
      <name val="Arial"/>
      <family val="2"/>
    </font>
    <font>
      <b/>
      <sz val="14"/>
      <name val="Arial"/>
      <family val="2"/>
    </font>
    <font>
      <sz val="12"/>
      <name val="Arial"/>
      <family val="2"/>
    </font>
    <font>
      <sz val="14"/>
      <name val="Arial"/>
      <family val="2"/>
    </font>
    <font>
      <b/>
      <sz val="12"/>
      <name val="Arial"/>
      <family val="2"/>
    </font>
    <font>
      <b/>
      <i/>
      <sz val="14"/>
      <name val="Arial"/>
      <family val="2"/>
    </font>
    <font>
      <b/>
      <sz val="10"/>
      <name val="Arial"/>
      <family val="2"/>
    </font>
    <font>
      <sz val="10"/>
      <name val="Arial"/>
      <family val="2"/>
    </font>
    <font>
      <b/>
      <sz val="10"/>
      <color indexed="9"/>
      <name val="Arial"/>
      <family val="2"/>
    </font>
    <font>
      <b/>
      <sz val="16"/>
      <name val="Arial"/>
      <family val="2"/>
    </font>
    <font>
      <b/>
      <sz val="16"/>
      <name val="Arial"/>
      <family val="2"/>
    </font>
    <font>
      <b/>
      <i/>
      <sz val="16"/>
      <name val="Arial"/>
      <family val="2"/>
    </font>
    <font>
      <sz val="10"/>
      <color indexed="9"/>
      <name val="Arial"/>
      <family val="2"/>
    </font>
    <font>
      <sz val="16"/>
      <color indexed="9"/>
      <name val="Arial"/>
      <family val="2"/>
    </font>
    <font>
      <sz val="10"/>
      <color indexed="8"/>
      <name val="Arial"/>
      <family val="2"/>
    </font>
    <font>
      <b/>
      <sz val="10"/>
      <color indexed="8"/>
      <name val="Arial"/>
      <family val="2"/>
    </font>
    <font>
      <sz val="11"/>
      <color indexed="8"/>
      <name val="Arial"/>
      <family val="2"/>
    </font>
    <font>
      <b/>
      <sz val="12"/>
      <color indexed="9"/>
      <name val="Arial"/>
      <family val="2"/>
    </font>
    <font>
      <b/>
      <sz val="11"/>
      <name val="Arial"/>
      <family val="2"/>
    </font>
    <font>
      <sz val="8"/>
      <name val="Arial"/>
      <family val="2"/>
    </font>
    <font>
      <b/>
      <sz val="11"/>
      <color indexed="9"/>
      <name val="Arial"/>
      <family val="2"/>
    </font>
    <font>
      <sz val="12"/>
      <color indexed="9"/>
      <name val="Arial"/>
      <family val="2"/>
    </font>
    <font>
      <sz val="10"/>
      <color indexed="10"/>
      <name val="Arial"/>
      <family val="2"/>
    </font>
    <font>
      <sz val="8"/>
      <color indexed="81"/>
      <name val="Tahoma"/>
      <family val="2"/>
    </font>
    <font>
      <b/>
      <sz val="8"/>
      <color indexed="81"/>
      <name val="Tahoma"/>
      <family val="2"/>
    </font>
    <font>
      <b/>
      <i/>
      <sz val="10"/>
      <name val="Arial"/>
      <family val="2"/>
    </font>
    <font>
      <b/>
      <sz val="20"/>
      <color indexed="9"/>
      <name val="Arial"/>
      <family val="2"/>
    </font>
    <font>
      <b/>
      <sz val="16"/>
      <color indexed="9"/>
      <name val="Arial"/>
      <family val="2"/>
    </font>
    <font>
      <b/>
      <sz val="14"/>
      <color indexed="9"/>
      <name val="Arial"/>
      <family val="2"/>
    </font>
    <font>
      <sz val="14"/>
      <color indexed="9"/>
      <name val="Arial"/>
      <family val="2"/>
    </font>
    <font>
      <b/>
      <sz val="20"/>
      <color indexed="8"/>
      <name val="Arial"/>
      <family val="2"/>
    </font>
    <font>
      <sz val="20"/>
      <color indexed="8"/>
      <name val="Arial"/>
      <family val="2"/>
    </font>
    <font>
      <sz val="9"/>
      <name val="Arial"/>
      <family val="2"/>
    </font>
    <font>
      <sz val="10"/>
      <color indexed="81"/>
      <name val="Tahoma"/>
      <family val="2"/>
    </font>
    <font>
      <b/>
      <i/>
      <sz val="12"/>
      <name val="Arial"/>
      <family val="2"/>
    </font>
    <font>
      <b/>
      <sz val="18"/>
      <color indexed="9"/>
      <name val="Arial"/>
      <family val="2"/>
    </font>
    <font>
      <b/>
      <sz val="10"/>
      <color indexed="10"/>
      <name val="Arial"/>
      <family val="2"/>
    </font>
    <font>
      <i/>
      <sz val="10"/>
      <name val="Arial"/>
      <family val="2"/>
    </font>
    <font>
      <b/>
      <i/>
      <sz val="10"/>
      <color indexed="9"/>
      <name val="Arial"/>
      <family val="2"/>
    </font>
    <font>
      <b/>
      <sz val="10"/>
      <color indexed="18"/>
      <name val="Arial"/>
      <family val="2"/>
    </font>
    <font>
      <sz val="11"/>
      <color indexed="9"/>
      <name val="Arial"/>
      <family val="2"/>
    </font>
    <font>
      <b/>
      <i/>
      <sz val="16"/>
      <color indexed="9"/>
      <name val="Arial"/>
      <family val="2"/>
    </font>
    <font>
      <b/>
      <i/>
      <sz val="14"/>
      <color indexed="8"/>
      <name val="Arial"/>
      <family val="2"/>
    </font>
    <font>
      <sz val="10"/>
      <color indexed="50"/>
      <name val="Arial"/>
      <family val="2"/>
    </font>
    <font>
      <sz val="10"/>
      <color indexed="56"/>
      <name val="Arial"/>
      <family val="2"/>
    </font>
    <font>
      <b/>
      <i/>
      <sz val="10"/>
      <color indexed="81"/>
      <name val="Tahoma"/>
      <family val="2"/>
    </font>
    <font>
      <u/>
      <sz val="6"/>
      <color indexed="12"/>
      <name val="Arial"/>
      <family val="2"/>
    </font>
    <font>
      <b/>
      <sz val="12"/>
      <color indexed="8"/>
      <name val="Arial"/>
      <family val="2"/>
    </font>
    <font>
      <sz val="20"/>
      <name val="Arial"/>
      <family val="2"/>
    </font>
    <font>
      <b/>
      <sz val="15"/>
      <color indexed="9"/>
      <name val="Arial"/>
      <family val="2"/>
    </font>
    <font>
      <b/>
      <sz val="13"/>
      <color indexed="9"/>
      <name val="Arial"/>
      <family val="2"/>
    </font>
    <font>
      <sz val="11"/>
      <name val="Arial"/>
      <family val="2"/>
    </font>
    <font>
      <sz val="16"/>
      <name val="Arial"/>
      <family val="2"/>
    </font>
    <font>
      <b/>
      <i/>
      <sz val="11"/>
      <name val="Arial"/>
      <family val="2"/>
    </font>
    <font>
      <sz val="20"/>
      <color indexed="9"/>
      <name val="Arial"/>
      <family val="2"/>
    </font>
    <font>
      <sz val="11"/>
      <color indexed="81"/>
      <name val="Tahoma"/>
      <family val="2"/>
    </font>
    <font>
      <sz val="9"/>
      <color indexed="81"/>
      <name val="Tahoma"/>
      <family val="2"/>
    </font>
    <font>
      <b/>
      <sz val="10"/>
      <color indexed="9"/>
      <name val="Arial"/>
      <family val="2"/>
    </font>
    <font>
      <sz val="10"/>
      <color indexed="9"/>
      <name val="Arial"/>
      <family val="2"/>
    </font>
    <font>
      <b/>
      <i/>
      <sz val="12"/>
      <color indexed="10"/>
      <name val="Arial"/>
      <family val="2"/>
    </font>
    <font>
      <b/>
      <sz val="11"/>
      <color indexed="9"/>
      <name val="Arial"/>
      <family val="2"/>
    </font>
    <font>
      <b/>
      <sz val="12"/>
      <color indexed="9"/>
      <name val="Arial"/>
      <family val="2"/>
    </font>
    <font>
      <b/>
      <i/>
      <sz val="12"/>
      <name val="Arial"/>
      <family val="2"/>
    </font>
    <font>
      <sz val="12"/>
      <name val="Arial"/>
      <family val="2"/>
    </font>
    <font>
      <b/>
      <sz val="13"/>
      <name val="Arial"/>
      <family val="2"/>
    </font>
    <font>
      <sz val="9"/>
      <name val="Arial"/>
      <family val="2"/>
    </font>
    <font>
      <sz val="13"/>
      <name val="Arial"/>
      <family val="2"/>
    </font>
    <font>
      <sz val="11"/>
      <name val="Arial"/>
      <family val="2"/>
    </font>
    <font>
      <b/>
      <sz val="11"/>
      <name val="Arial"/>
      <family val="2"/>
    </font>
    <font>
      <b/>
      <sz val="17"/>
      <color indexed="9"/>
      <name val="Arial"/>
      <family val="2"/>
    </font>
    <font>
      <sz val="17"/>
      <name val="Arial"/>
      <family val="2"/>
    </font>
    <font>
      <b/>
      <sz val="17"/>
      <name val="Arial"/>
      <family val="2"/>
    </font>
    <font>
      <b/>
      <i/>
      <sz val="17"/>
      <name val="Arial"/>
      <family val="2"/>
    </font>
    <font>
      <b/>
      <sz val="8"/>
      <color indexed="10"/>
      <name val="Arial"/>
      <family val="2"/>
    </font>
    <font>
      <sz val="11"/>
      <color indexed="9"/>
      <name val="Arial"/>
      <family val="2"/>
    </font>
    <font>
      <b/>
      <sz val="10"/>
      <color indexed="10"/>
      <name val="Arial"/>
      <family val="2"/>
    </font>
    <font>
      <sz val="14"/>
      <color indexed="8"/>
      <name val="Arial"/>
      <family val="2"/>
    </font>
    <font>
      <sz val="11"/>
      <color theme="1"/>
      <name val="Arial"/>
      <family val="2"/>
    </font>
    <font>
      <sz val="10"/>
      <color rgb="FFFF0000"/>
      <name val="Arial"/>
      <family val="2"/>
    </font>
    <font>
      <b/>
      <sz val="10"/>
      <color theme="9"/>
      <name val="Arial"/>
      <family val="2"/>
    </font>
    <font>
      <u/>
      <sz val="10"/>
      <color theme="4"/>
      <name val="Arial"/>
      <family val="2"/>
    </font>
    <font>
      <sz val="9"/>
      <color indexed="81"/>
      <name val="Segoe UI"/>
      <family val="2"/>
    </font>
    <font>
      <b/>
      <sz val="9"/>
      <color indexed="81"/>
      <name val="Segoe UI"/>
      <family val="2"/>
    </font>
    <font>
      <sz val="10"/>
      <color theme="0"/>
      <name val="Arial"/>
      <family val="2"/>
    </font>
    <font>
      <b/>
      <sz val="10"/>
      <color theme="0"/>
      <name val="Arial"/>
      <family val="2"/>
    </font>
    <font>
      <b/>
      <sz val="16"/>
      <color theme="0"/>
      <name val="Arial"/>
      <family val="2"/>
    </font>
    <font>
      <sz val="11"/>
      <color rgb="FFFF0000"/>
      <name val="Arial"/>
      <family val="2"/>
    </font>
    <font>
      <b/>
      <sz val="10"/>
      <color rgb="FFFF0000"/>
      <name val="Arial"/>
      <family val="2"/>
    </font>
    <font>
      <b/>
      <sz val="10"/>
      <color rgb="FF00B050"/>
      <name val="Arial"/>
      <family val="2"/>
    </font>
    <font>
      <sz val="10"/>
      <color rgb="FF00B050"/>
      <name val="Arial"/>
      <family val="2"/>
    </font>
    <font>
      <b/>
      <sz val="10"/>
      <color theme="0" tint="-0.249977111117893"/>
      <name val="Arial"/>
      <family val="2"/>
    </font>
    <font>
      <sz val="20"/>
      <color theme="0" tint="-0.249977111117893"/>
      <name val="Arial"/>
      <family val="2"/>
    </font>
    <font>
      <sz val="10"/>
      <color rgb="FF0070C0"/>
      <name val="Arial"/>
      <family val="2"/>
    </font>
    <font>
      <b/>
      <sz val="14"/>
      <color rgb="FFFFFFFF"/>
      <name val="Arial"/>
      <family val="2"/>
    </font>
    <font>
      <b/>
      <sz val="16"/>
      <color rgb="FFFFFFFF"/>
      <name val="Arial"/>
      <family val="2"/>
    </font>
    <font>
      <b/>
      <sz val="10"/>
      <color rgb="FFFFFFFF"/>
      <name val="Arial"/>
      <family val="2"/>
    </font>
    <font>
      <b/>
      <sz val="8"/>
      <color rgb="FFFFFFFF"/>
      <name val="Arial"/>
      <family val="2"/>
    </font>
    <font>
      <sz val="8"/>
      <color rgb="FFFFFFFF"/>
      <name val="Arial"/>
      <family val="2"/>
    </font>
    <font>
      <sz val="10"/>
      <color rgb="FF000000"/>
      <name val="Arial"/>
      <family val="2"/>
    </font>
    <font>
      <b/>
      <sz val="12"/>
      <color theme="0"/>
      <name val="Arial"/>
      <family val="2"/>
    </font>
  </fonts>
  <fills count="2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9"/>
        <bgColor indexed="64"/>
      </patternFill>
    </fill>
    <fill>
      <patternFill patternType="solid">
        <fgColor indexed="10"/>
        <bgColor indexed="64"/>
      </patternFill>
    </fill>
    <fill>
      <patternFill patternType="solid">
        <fgColor indexed="43"/>
        <bgColor indexed="64"/>
      </patternFill>
    </fill>
    <fill>
      <patternFill patternType="solid">
        <fgColor indexed="18"/>
        <bgColor indexed="64"/>
      </patternFill>
    </fill>
    <fill>
      <patternFill patternType="solid">
        <fgColor indexed="47"/>
        <bgColor indexed="64"/>
      </patternFill>
    </fill>
    <fill>
      <patternFill patternType="solid">
        <fgColor indexed="9"/>
        <bgColor indexed="64"/>
      </patternFill>
    </fill>
    <fill>
      <patternFill patternType="solid">
        <fgColor indexed="45"/>
        <bgColor indexed="64"/>
      </patternFill>
    </fill>
    <fill>
      <patternFill patternType="solid">
        <fgColor indexed="50"/>
        <bgColor indexed="64"/>
      </patternFill>
    </fill>
    <fill>
      <patternFill patternType="solid">
        <fgColor rgb="FFFFFF00"/>
        <bgColor indexed="64"/>
      </patternFill>
    </fill>
    <fill>
      <patternFill patternType="solid">
        <fgColor rgb="FFFF66CC"/>
        <bgColor indexed="64"/>
      </patternFill>
    </fill>
    <fill>
      <patternFill patternType="solid">
        <fgColor theme="0" tint="-0.14999847407452621"/>
        <bgColor indexed="64"/>
      </patternFill>
    </fill>
    <fill>
      <patternFill patternType="solid">
        <fgColor rgb="FF00359E"/>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style="thick">
        <color theme="3"/>
      </left>
      <right style="thick">
        <color theme="3"/>
      </right>
      <top/>
      <bottom/>
      <diagonal/>
    </border>
    <border>
      <left style="thick">
        <color rgb="FF00359E"/>
      </left>
      <right style="thick">
        <color rgb="FF00359E"/>
      </right>
      <top style="thick">
        <color rgb="FF00359E"/>
      </top>
      <bottom/>
      <diagonal/>
    </border>
    <border>
      <left style="thick">
        <color rgb="FF00359E"/>
      </left>
      <right style="thick">
        <color rgb="FF00359E"/>
      </right>
      <top/>
      <bottom/>
      <diagonal/>
    </border>
    <border>
      <left style="thick">
        <color rgb="FFFF66CC"/>
      </left>
      <right style="thick">
        <color rgb="FFFF66CC"/>
      </right>
      <top/>
      <bottom/>
      <diagonal/>
    </border>
    <border>
      <left style="thick">
        <color rgb="FFFF66CC"/>
      </left>
      <right style="thick">
        <color rgb="FFFF66CC"/>
      </right>
      <top style="thick">
        <color rgb="FFFF66CC"/>
      </top>
      <bottom/>
      <diagonal/>
    </border>
    <border>
      <left style="thick">
        <color theme="3"/>
      </left>
      <right style="thick">
        <color theme="3"/>
      </right>
      <top style="thick">
        <color theme="3"/>
      </top>
      <bottom/>
      <diagonal/>
    </border>
    <border>
      <left style="thick">
        <color theme="3"/>
      </left>
      <right style="thick">
        <color theme="3"/>
      </right>
      <top/>
      <bottom style="thick">
        <color theme="3"/>
      </bottom>
      <diagonal/>
    </border>
    <border>
      <left style="thick">
        <color rgb="FFFF66CC"/>
      </left>
      <right style="thick">
        <color rgb="FFFF66CC"/>
      </right>
      <top/>
      <bottom style="thick">
        <color rgb="FFFF66CC"/>
      </bottom>
      <diagonal/>
    </border>
    <border>
      <left style="thick">
        <color rgb="FF00359E"/>
      </left>
      <right style="thick">
        <color rgb="FF00359E"/>
      </right>
      <top/>
      <bottom style="thick">
        <color rgb="FF00359E"/>
      </bottom>
      <diagonal/>
    </border>
    <border>
      <left style="thick">
        <color rgb="FF00359E"/>
      </left>
      <right style="thick">
        <color rgb="FF00359E"/>
      </right>
      <top/>
      <bottom style="medium">
        <color indexed="64"/>
      </bottom>
      <diagonal/>
    </border>
    <border>
      <left style="thick">
        <color theme="3"/>
      </left>
      <right style="thick">
        <color theme="3"/>
      </right>
      <top style="thin">
        <color indexed="64"/>
      </top>
      <bottom/>
      <diagonal/>
    </border>
    <border>
      <left style="thick">
        <color rgb="FFFF66CC"/>
      </left>
      <right style="thick">
        <color rgb="FFFF66CC"/>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4">
    <xf numFmtId="0" fontId="0" fillId="0" borderId="0"/>
    <xf numFmtId="0" fontId="52" fillId="0" borderId="0" applyNumberFormat="0" applyFill="0" applyBorder="0" applyAlignment="0" applyProtection="0">
      <alignment vertical="top"/>
      <protection locked="0"/>
    </xf>
    <xf numFmtId="9" fontId="3" fillId="0" borderId="0" applyFont="0" applyFill="0" applyBorder="0" applyAlignment="0" applyProtection="0"/>
    <xf numFmtId="0" fontId="83" fillId="0" borderId="0"/>
  </cellStyleXfs>
  <cellXfs count="1406">
    <xf numFmtId="0" fontId="0" fillId="0" borderId="0" xfId="0"/>
    <xf numFmtId="0" fontId="0" fillId="0" borderId="0" xfId="0" applyFill="1"/>
    <xf numFmtId="0" fontId="5" fillId="0" borderId="0" xfId="0" applyFont="1" applyFill="1"/>
    <xf numFmtId="0" fontId="1" fillId="0" borderId="0" xfId="0" applyFont="1" applyFill="1"/>
    <xf numFmtId="0" fontId="3" fillId="0" borderId="0" xfId="0" applyFont="1" applyFill="1"/>
    <xf numFmtId="166" fontId="0" fillId="0" borderId="0" xfId="0" applyNumberFormat="1" applyFill="1"/>
    <xf numFmtId="1" fontId="0" fillId="0" borderId="0" xfId="0" applyNumberFormat="1" applyFill="1"/>
    <xf numFmtId="167" fontId="0" fillId="0" borderId="0" xfId="0" applyNumberFormat="1" applyFill="1"/>
    <xf numFmtId="168" fontId="0" fillId="0" borderId="0" xfId="0" applyNumberFormat="1" applyFill="1"/>
    <xf numFmtId="167" fontId="0" fillId="0" borderId="0" xfId="0" applyNumberFormat="1"/>
    <xf numFmtId="167" fontId="0" fillId="2" borderId="1" xfId="0" applyNumberFormat="1" applyFill="1" applyBorder="1"/>
    <xf numFmtId="0" fontId="6" fillId="0" borderId="0" xfId="0" applyFont="1" applyFill="1" applyAlignment="1">
      <alignment horizontal="right"/>
    </xf>
    <xf numFmtId="0" fontId="0" fillId="0" borderId="0" xfId="0" applyAlignment="1">
      <alignment horizontal="center"/>
    </xf>
    <xf numFmtId="0" fontId="0" fillId="0" borderId="0" xfId="0" applyBorder="1" applyAlignment="1">
      <alignment horizontal="center"/>
    </xf>
    <xf numFmtId="0" fontId="0" fillId="0" borderId="2" xfId="0" applyFill="1" applyBorder="1"/>
    <xf numFmtId="0" fontId="0" fillId="0" borderId="3" xfId="0" applyFill="1" applyBorder="1"/>
    <xf numFmtId="0" fontId="0" fillId="3" borderId="0" xfId="0" applyFill="1" applyBorder="1" applyAlignment="1">
      <alignment horizontal="center"/>
    </xf>
    <xf numFmtId="0" fontId="1" fillId="0" borderId="0" xfId="0" applyFont="1"/>
    <xf numFmtId="0" fontId="0" fillId="0" borderId="0" xfId="0" applyBorder="1"/>
    <xf numFmtId="3" fontId="0" fillId="0" borderId="0" xfId="0" applyNumberFormat="1" applyAlignment="1">
      <alignment horizontal="center"/>
    </xf>
    <xf numFmtId="0" fontId="3" fillId="0" borderId="0" xfId="0" applyFont="1"/>
    <xf numFmtId="0" fontId="8" fillId="0" borderId="0" xfId="0" applyFont="1"/>
    <xf numFmtId="0" fontId="1" fillId="0" borderId="0" xfId="0" applyFont="1" applyBorder="1"/>
    <xf numFmtId="166" fontId="1" fillId="2" borderId="0" xfId="0" applyNumberFormat="1" applyFont="1" applyFill="1"/>
    <xf numFmtId="0" fontId="0" fillId="0" borderId="0" xfId="0" applyFill="1" applyBorder="1"/>
    <xf numFmtId="0" fontId="8" fillId="0" borderId="0" xfId="0" applyFont="1" applyFill="1"/>
    <xf numFmtId="166" fontId="9" fillId="0" borderId="0" xfId="0" applyNumberFormat="1" applyFont="1" applyFill="1"/>
    <xf numFmtId="0" fontId="9" fillId="0" borderId="0" xfId="0" applyFont="1"/>
    <xf numFmtId="0" fontId="0" fillId="0" borderId="4" xfId="0" applyFill="1" applyBorder="1"/>
    <xf numFmtId="0" fontId="10" fillId="0" borderId="0" xfId="0" applyFont="1"/>
    <xf numFmtId="167" fontId="0" fillId="0" borderId="0" xfId="0" applyNumberFormat="1" applyAlignment="1">
      <alignment horizontal="center"/>
    </xf>
    <xf numFmtId="168" fontId="0" fillId="0" borderId="0" xfId="0" applyNumberFormat="1" applyAlignment="1">
      <alignment horizontal="center"/>
    </xf>
    <xf numFmtId="166" fontId="0" fillId="0" borderId="0" xfId="0" applyNumberFormat="1" applyAlignment="1">
      <alignment horizontal="center"/>
    </xf>
    <xf numFmtId="168" fontId="1" fillId="0" borderId="0" xfId="0" applyNumberFormat="1" applyFont="1" applyAlignment="1">
      <alignment horizontal="center"/>
    </xf>
    <xf numFmtId="0" fontId="3" fillId="2" borderId="0" xfId="0" applyFont="1" applyFill="1" applyAlignment="1">
      <alignment horizontal="center"/>
    </xf>
    <xf numFmtId="167" fontId="3" fillId="2" borderId="0" xfId="0" applyNumberFormat="1" applyFont="1" applyFill="1" applyAlignment="1">
      <alignment horizontal="center"/>
    </xf>
    <xf numFmtId="168" fontId="1" fillId="2" borderId="0" xfId="0" applyNumberFormat="1" applyFont="1" applyFill="1" applyAlignment="1">
      <alignment horizontal="center"/>
    </xf>
    <xf numFmtId="0" fontId="3" fillId="2" borderId="5" xfId="0" applyFont="1" applyFill="1" applyBorder="1" applyAlignment="1">
      <alignment horizontal="center"/>
    </xf>
    <xf numFmtId="168" fontId="0" fillId="0" borderId="0" xfId="0" applyNumberFormat="1" applyBorder="1" applyAlignment="1">
      <alignment horizontal="center"/>
    </xf>
    <xf numFmtId="168" fontId="0" fillId="0" borderId="1" xfId="0" applyNumberFormat="1" applyBorder="1" applyAlignment="1">
      <alignment horizontal="center"/>
    </xf>
    <xf numFmtId="0" fontId="0" fillId="0" borderId="1" xfId="0" applyBorder="1"/>
    <xf numFmtId="168" fontId="3" fillId="2" borderId="0" xfId="0" applyNumberFormat="1" applyFont="1" applyFill="1" applyAlignment="1">
      <alignment horizontal="center"/>
    </xf>
    <xf numFmtId="9" fontId="3" fillId="0" borderId="5" xfId="2" applyBorder="1" applyAlignment="1">
      <alignment horizontal="center"/>
    </xf>
    <xf numFmtId="168" fontId="0" fillId="0" borderId="0" xfId="0" applyNumberFormat="1" applyFill="1" applyAlignment="1">
      <alignment horizontal="center"/>
    </xf>
    <xf numFmtId="168" fontId="1" fillId="0" borderId="0" xfId="0" applyNumberFormat="1" applyFont="1"/>
    <xf numFmtId="0" fontId="0" fillId="0" borderId="0" xfId="0" applyFill="1" applyAlignment="1">
      <alignment horizontal="center"/>
    </xf>
    <xf numFmtId="166" fontId="0" fillId="0" borderId="0" xfId="0" applyNumberFormat="1" applyFill="1" applyAlignment="1">
      <alignment horizontal="center"/>
    </xf>
    <xf numFmtId="168" fontId="0" fillId="0" borderId="0" xfId="0" applyNumberFormat="1"/>
    <xf numFmtId="0" fontId="0" fillId="2" borderId="0" xfId="0" applyFill="1" applyAlignment="1">
      <alignment horizontal="center"/>
    </xf>
    <xf numFmtId="0" fontId="0" fillId="0" borderId="5" xfId="0" applyBorder="1" applyAlignment="1">
      <alignment horizontal="center"/>
    </xf>
    <xf numFmtId="166" fontId="0" fillId="0" borderId="0" xfId="0" applyNumberFormat="1" applyFill="1" applyBorder="1" applyAlignment="1">
      <alignment horizontal="center"/>
    </xf>
    <xf numFmtId="0" fontId="1" fillId="0" borderId="0" xfId="0" applyFont="1" applyFill="1" applyBorder="1"/>
    <xf numFmtId="0" fontId="3" fillId="0" borderId="0" xfId="0" applyFont="1" applyFill="1" applyBorder="1"/>
    <xf numFmtId="0" fontId="3" fillId="0" borderId="0" xfId="0" applyFont="1" applyFill="1" applyBorder="1" applyAlignment="1">
      <alignment horizontal="center"/>
    </xf>
    <xf numFmtId="167" fontId="3" fillId="0" borderId="0" xfId="0" applyNumberFormat="1" applyFont="1" applyFill="1" applyBorder="1" applyAlignment="1">
      <alignment horizontal="center"/>
    </xf>
    <xf numFmtId="168" fontId="3" fillId="0" borderId="0" xfId="0" applyNumberFormat="1" applyFont="1" applyFill="1" applyBorder="1" applyAlignment="1">
      <alignment horizontal="center"/>
    </xf>
    <xf numFmtId="166" fontId="3" fillId="0" borderId="0" xfId="0" applyNumberFormat="1" applyFont="1" applyFill="1" applyBorder="1" applyAlignment="1">
      <alignment horizontal="center"/>
    </xf>
    <xf numFmtId="0" fontId="0" fillId="0" borderId="0" xfId="0" applyFill="1" applyBorder="1" applyAlignment="1">
      <alignment horizontal="center"/>
    </xf>
    <xf numFmtId="167" fontId="0" fillId="0" borderId="0" xfId="0" applyNumberFormat="1" applyFill="1" applyBorder="1" applyAlignment="1">
      <alignment horizontal="center"/>
    </xf>
    <xf numFmtId="168" fontId="0" fillId="0" borderId="0" xfId="0" applyNumberFormat="1" applyFill="1" applyBorder="1" applyAlignment="1">
      <alignment horizontal="center"/>
    </xf>
    <xf numFmtId="1" fontId="0" fillId="0" borderId="0" xfId="0" applyNumberFormat="1" applyFill="1" applyBorder="1" applyAlignment="1">
      <alignment horizontal="center"/>
    </xf>
    <xf numFmtId="167" fontId="0" fillId="0" borderId="0" xfId="0" applyNumberFormat="1" applyFill="1" applyAlignment="1">
      <alignment horizontal="center"/>
    </xf>
    <xf numFmtId="0" fontId="12" fillId="0" borderId="0" xfId="0" applyFont="1"/>
    <xf numFmtId="9" fontId="0" fillId="0" borderId="0" xfId="2" applyFont="1" applyAlignment="1">
      <alignment horizontal="center"/>
    </xf>
    <xf numFmtId="0" fontId="0" fillId="3" borderId="0" xfId="0" applyFill="1" applyAlignment="1">
      <alignment horizontal="center"/>
    </xf>
    <xf numFmtId="0" fontId="5" fillId="4" borderId="0" xfId="0" applyFont="1" applyFill="1"/>
    <xf numFmtId="0" fontId="8" fillId="4" borderId="0" xfId="0" applyFont="1" applyFill="1"/>
    <xf numFmtId="0" fontId="8" fillId="0" borderId="5" xfId="0" applyFont="1" applyBorder="1" applyAlignment="1">
      <alignment horizontal="center"/>
    </xf>
    <xf numFmtId="0" fontId="3" fillId="0" borderId="0" xfId="0" applyFont="1" applyAlignment="1">
      <alignment horizontal="center"/>
    </xf>
    <xf numFmtId="0" fontId="0" fillId="0" borderId="0" xfId="0" applyAlignment="1">
      <alignment horizontal="right"/>
    </xf>
    <xf numFmtId="0" fontId="16" fillId="0" borderId="0" xfId="0" applyFont="1"/>
    <xf numFmtId="0" fontId="7" fillId="0" borderId="0" xfId="0" applyFont="1"/>
    <xf numFmtId="0" fontId="16" fillId="0" borderId="0" xfId="0" applyFont="1" applyFill="1"/>
    <xf numFmtId="0" fontId="14" fillId="0" borderId="0" xfId="0" applyFont="1"/>
    <xf numFmtId="0" fontId="19" fillId="0" borderId="0" xfId="0" applyFont="1" applyFill="1"/>
    <xf numFmtId="0" fontId="0" fillId="0" borderId="5" xfId="0" applyBorder="1"/>
    <xf numFmtId="0" fontId="20" fillId="0" borderId="0" xfId="0" applyFont="1" applyFill="1"/>
    <xf numFmtId="0" fontId="21" fillId="0" borderId="0" xfId="0" applyFont="1" applyFill="1"/>
    <xf numFmtId="0" fontId="20" fillId="0" borderId="0" xfId="0" applyFont="1" applyFill="1" applyAlignment="1">
      <alignment horizontal="right"/>
    </xf>
    <xf numFmtId="168" fontId="1" fillId="0" borderId="0" xfId="0" applyNumberFormat="1" applyFont="1" applyFill="1" applyAlignment="1">
      <alignment horizontal="center"/>
    </xf>
    <xf numFmtId="0" fontId="0" fillId="0" borderId="4" xfId="0" applyBorder="1"/>
    <xf numFmtId="164" fontId="0" fillId="0" borderId="0" xfId="0" applyNumberFormat="1" applyFill="1" applyBorder="1" applyAlignment="1">
      <alignment horizontal="center"/>
    </xf>
    <xf numFmtId="0" fontId="9" fillId="0" borderId="0" xfId="0" applyFont="1" applyBorder="1"/>
    <xf numFmtId="0" fontId="17" fillId="0" borderId="0" xfId="0" applyFont="1"/>
    <xf numFmtId="0" fontId="13" fillId="0" borderId="0" xfId="0" applyFont="1"/>
    <xf numFmtId="168" fontId="1" fillId="0" borderId="0" xfId="0" applyNumberFormat="1" applyFont="1" applyFill="1" applyBorder="1"/>
    <xf numFmtId="171" fontId="1" fillId="0" borderId="0" xfId="0" applyNumberFormat="1" applyFont="1" applyFill="1" applyBorder="1" applyAlignment="1">
      <alignment horizontal="center"/>
    </xf>
    <xf numFmtId="170" fontId="1" fillId="0" borderId="0" xfId="0" applyNumberFormat="1" applyFont="1" applyFill="1" applyBorder="1" applyAlignment="1">
      <alignment horizontal="center"/>
    </xf>
    <xf numFmtId="167" fontId="1" fillId="0" borderId="0" xfId="0" applyNumberFormat="1" applyFont="1" applyFill="1" applyBorder="1" applyAlignment="1">
      <alignment horizontal="center"/>
    </xf>
    <xf numFmtId="9" fontId="3" fillId="0" borderId="0" xfId="2" applyFont="1" applyFill="1" applyBorder="1" applyAlignment="1">
      <alignment horizontal="center"/>
    </xf>
    <xf numFmtId="166" fontId="0" fillId="0" borderId="0" xfId="0" applyNumberFormat="1" applyBorder="1" applyAlignment="1">
      <alignment horizontal="center"/>
    </xf>
    <xf numFmtId="0" fontId="14" fillId="5" borderId="0" xfId="0" applyFont="1" applyFill="1"/>
    <xf numFmtId="167" fontId="0" fillId="3" borderId="0" xfId="0" applyNumberFormat="1" applyFill="1" applyAlignment="1">
      <alignment horizontal="center"/>
    </xf>
    <xf numFmtId="9" fontId="0" fillId="0" borderId="0" xfId="2" applyFont="1" applyFill="1" applyBorder="1" applyAlignment="1">
      <alignment horizontal="center"/>
    </xf>
    <xf numFmtId="168" fontId="5" fillId="0" borderId="0" xfId="0" applyNumberFormat="1" applyFont="1" applyAlignment="1">
      <alignment horizontal="center"/>
    </xf>
    <xf numFmtId="3" fontId="1" fillId="0" borderId="0" xfId="0" applyNumberFormat="1" applyFont="1" applyFill="1" applyAlignment="1">
      <alignment horizontal="center"/>
    </xf>
    <xf numFmtId="3" fontId="22" fillId="0" borderId="0" xfId="0" applyNumberFormat="1" applyFont="1" applyFill="1"/>
    <xf numFmtId="0" fontId="13" fillId="0" borderId="0" xfId="0" applyFont="1" applyFill="1"/>
    <xf numFmtId="0" fontId="8" fillId="0" borderId="0" xfId="0" applyFont="1" applyBorder="1"/>
    <xf numFmtId="0" fontId="13" fillId="0" borderId="0" xfId="0" applyFont="1" applyBorder="1"/>
    <xf numFmtId="0" fontId="12" fillId="0" borderId="0" xfId="0" applyFont="1" applyBorder="1"/>
    <xf numFmtId="0" fontId="28" fillId="0" borderId="0" xfId="0" applyFont="1" applyBorder="1"/>
    <xf numFmtId="0" fontId="18" fillId="0" borderId="0" xfId="0" applyFont="1" applyFill="1"/>
    <xf numFmtId="167" fontId="18" fillId="0" borderId="0" xfId="0" applyNumberFormat="1" applyFont="1" applyFill="1" applyAlignment="1">
      <alignment horizontal="center"/>
    </xf>
    <xf numFmtId="0" fontId="12" fillId="0" borderId="0" xfId="0" applyFont="1" applyFill="1"/>
    <xf numFmtId="9" fontId="0" fillId="0" borderId="0" xfId="2" applyFont="1" applyFill="1" applyAlignment="1">
      <alignment horizontal="center"/>
    </xf>
    <xf numFmtId="0" fontId="31" fillId="0" borderId="0" xfId="0" applyFont="1"/>
    <xf numFmtId="167" fontId="1" fillId="0" borderId="0" xfId="0" applyNumberFormat="1" applyFont="1" applyFill="1" applyAlignment="1">
      <alignment horizontal="center"/>
    </xf>
    <xf numFmtId="174" fontId="1" fillId="0" borderId="0" xfId="0" applyNumberFormat="1" applyFont="1" applyFill="1" applyAlignment="1">
      <alignment horizontal="center"/>
    </xf>
    <xf numFmtId="0" fontId="0" fillId="0" borderId="0" xfId="0" applyFill="1" applyAlignment="1">
      <alignment horizontal="right"/>
    </xf>
    <xf numFmtId="0" fontId="12" fillId="2" borderId="0" xfId="0" applyFont="1" applyFill="1" applyAlignment="1">
      <alignment horizontal="center"/>
    </xf>
    <xf numFmtId="0" fontId="12" fillId="2" borderId="0" xfId="0" applyFont="1" applyFill="1" applyBorder="1" applyAlignment="1">
      <alignment horizontal="center"/>
    </xf>
    <xf numFmtId="166" fontId="0" fillId="0" borderId="0" xfId="0" applyNumberFormat="1" applyFill="1" applyBorder="1"/>
    <xf numFmtId="2" fontId="0" fillId="0" borderId="0" xfId="0" applyNumberFormat="1" applyFill="1" applyBorder="1" applyAlignment="1">
      <alignment horizontal="center"/>
    </xf>
    <xf numFmtId="168" fontId="0" fillId="0" borderId="1" xfId="0" applyNumberFormat="1" applyFill="1" applyBorder="1" applyAlignment="1">
      <alignment horizontal="center"/>
    </xf>
    <xf numFmtId="168" fontId="1" fillId="0" borderId="0" xfId="0" applyNumberFormat="1" applyFont="1" applyFill="1" applyBorder="1" applyAlignment="1">
      <alignment horizontal="center"/>
    </xf>
    <xf numFmtId="168" fontId="13" fillId="0" borderId="0" xfId="0" applyNumberFormat="1" applyFont="1" applyFill="1" applyAlignment="1">
      <alignment horizontal="center"/>
    </xf>
    <xf numFmtId="168" fontId="12" fillId="0" borderId="0" xfId="0" applyNumberFormat="1" applyFont="1" applyFill="1" applyBorder="1" applyAlignment="1">
      <alignment horizontal="center"/>
    </xf>
    <xf numFmtId="0" fontId="13" fillId="2" borderId="0" xfId="0" applyFont="1" applyFill="1" applyBorder="1" applyAlignment="1">
      <alignment horizontal="center"/>
    </xf>
    <xf numFmtId="166" fontId="0" fillId="2" borderId="1" xfId="0" applyNumberFormat="1" applyFill="1" applyBorder="1" applyAlignment="1">
      <alignment horizontal="center"/>
    </xf>
    <xf numFmtId="168" fontId="0" fillId="2" borderId="1" xfId="0" applyNumberFormat="1" applyFill="1" applyBorder="1" applyAlignment="1">
      <alignment horizontal="center"/>
    </xf>
    <xf numFmtId="0" fontId="12" fillId="0" borderId="0" xfId="0" applyFont="1" applyFill="1" applyBorder="1"/>
    <xf numFmtId="167" fontId="0" fillId="2" borderId="1" xfId="0" applyNumberFormat="1" applyFill="1" applyBorder="1" applyAlignment="1">
      <alignment horizontal="center"/>
    </xf>
    <xf numFmtId="166" fontId="1" fillId="2" borderId="0" xfId="0" applyNumberFormat="1" applyFont="1" applyFill="1" applyAlignment="1">
      <alignment horizontal="center"/>
    </xf>
    <xf numFmtId="166" fontId="12" fillId="2" borderId="0" xfId="0" applyNumberFormat="1" applyFont="1" applyFill="1" applyAlignment="1">
      <alignment horizontal="center"/>
    </xf>
    <xf numFmtId="9" fontId="1" fillId="0" borderId="0" xfId="2" applyFont="1" applyFill="1" applyAlignment="1">
      <alignment horizontal="center"/>
    </xf>
    <xf numFmtId="9" fontId="3" fillId="0" borderId="0" xfId="2" applyFont="1" applyFill="1" applyAlignment="1">
      <alignment horizontal="center"/>
    </xf>
    <xf numFmtId="9" fontId="3" fillId="0" borderId="0" xfId="2" applyFill="1" applyAlignment="1">
      <alignment horizontal="center"/>
    </xf>
    <xf numFmtId="176" fontId="7" fillId="0" borderId="0" xfId="0" applyNumberFormat="1" applyFont="1" applyFill="1" applyAlignment="1">
      <alignment horizontal="left"/>
    </xf>
    <xf numFmtId="0" fontId="17" fillId="0" borderId="0" xfId="0" applyFont="1" applyFill="1"/>
    <xf numFmtId="0" fontId="13" fillId="0" borderId="0" xfId="0" applyFont="1" applyAlignment="1">
      <alignment horizontal="right"/>
    </xf>
    <xf numFmtId="181" fontId="0" fillId="0" borderId="0" xfId="0" applyNumberFormat="1" applyBorder="1" applyAlignment="1">
      <alignment horizontal="center"/>
    </xf>
    <xf numFmtId="181" fontId="0" fillId="0" borderId="0" xfId="0" applyNumberFormat="1" applyAlignment="1">
      <alignment horizontal="center"/>
    </xf>
    <xf numFmtId="181" fontId="0" fillId="0" borderId="0" xfId="0" applyNumberFormat="1" applyBorder="1" applyAlignment="1">
      <alignment horizontal="left"/>
    </xf>
    <xf numFmtId="0" fontId="0" fillId="2" borderId="0" xfId="0" applyFill="1" applyBorder="1" applyAlignment="1">
      <alignment horizontal="center"/>
    </xf>
    <xf numFmtId="166" fontId="0" fillId="3" borderId="0" xfId="0" applyNumberFormat="1" applyFill="1" applyAlignment="1">
      <alignment horizontal="center"/>
    </xf>
    <xf numFmtId="181" fontId="0" fillId="0" borderId="0" xfId="0" applyNumberFormat="1" applyFill="1" applyAlignment="1">
      <alignment horizontal="center"/>
    </xf>
    <xf numFmtId="1" fontId="0" fillId="0" borderId="0" xfId="0" applyNumberFormat="1" applyFill="1" applyAlignment="1">
      <alignment horizontal="center"/>
    </xf>
    <xf numFmtId="181" fontId="0" fillId="0" borderId="0" xfId="0" applyNumberFormat="1" applyFill="1" applyBorder="1" applyAlignment="1">
      <alignment horizontal="center"/>
    </xf>
    <xf numFmtId="168" fontId="12" fillId="3" borderId="0" xfId="0" applyNumberFormat="1" applyFont="1" applyFill="1" applyBorder="1" applyAlignment="1">
      <alignment horizontal="center"/>
    </xf>
    <xf numFmtId="0" fontId="34" fillId="0" borderId="0" xfId="0" applyFont="1" applyFill="1"/>
    <xf numFmtId="0" fontId="9" fillId="0" borderId="0" xfId="0" applyFont="1" applyFill="1" applyBorder="1"/>
    <xf numFmtId="0" fontId="9" fillId="0" borderId="0" xfId="0" applyFont="1" applyFill="1"/>
    <xf numFmtId="0" fontId="3" fillId="0" borderId="0" xfId="0" applyFont="1" applyAlignment="1">
      <alignment horizontal="right"/>
    </xf>
    <xf numFmtId="0" fontId="31" fillId="0" borderId="0" xfId="0" applyFont="1" applyAlignment="1">
      <alignment horizontal="right"/>
    </xf>
    <xf numFmtId="190" fontId="0" fillId="3" borderId="0" xfId="0" applyNumberFormat="1" applyFill="1" applyAlignment="1">
      <alignment horizontal="center"/>
    </xf>
    <xf numFmtId="0" fontId="0" fillId="0" borderId="0" xfId="0" applyAlignment="1">
      <alignment horizontal="left"/>
    </xf>
    <xf numFmtId="3" fontId="0" fillId="0" borderId="0" xfId="0" applyNumberFormat="1" applyBorder="1" applyAlignment="1">
      <alignment horizontal="center"/>
    </xf>
    <xf numFmtId="167" fontId="0" fillId="0" borderId="0" xfId="0" applyNumberFormat="1" applyBorder="1" applyAlignment="1">
      <alignment horizontal="center"/>
    </xf>
    <xf numFmtId="0" fontId="13" fillId="0" borderId="0" xfId="0" applyFont="1" applyAlignment="1">
      <alignment horizontal="center"/>
    </xf>
    <xf numFmtId="0" fontId="3" fillId="0" borderId="0" xfId="0" applyFont="1" applyBorder="1" applyAlignment="1">
      <alignment horizontal="center"/>
    </xf>
    <xf numFmtId="0" fontId="0" fillId="0" borderId="0" xfId="0" applyBorder="1" applyAlignment="1">
      <alignment horizontal="left"/>
    </xf>
    <xf numFmtId="0" fontId="33" fillId="0" borderId="0" xfId="0" applyFont="1" applyFill="1" applyBorder="1"/>
    <xf numFmtId="0" fontId="1" fillId="0" borderId="0" xfId="0" applyFont="1" applyAlignment="1">
      <alignment horizontal="right"/>
    </xf>
    <xf numFmtId="0" fontId="13" fillId="0" borderId="0" xfId="0" applyFont="1" applyFill="1" applyAlignment="1">
      <alignment horizontal="right"/>
    </xf>
    <xf numFmtId="0" fontId="12" fillId="0" borderId="0" xfId="0" applyFont="1" applyAlignment="1">
      <alignment horizontal="left"/>
    </xf>
    <xf numFmtId="168" fontId="21" fillId="3" borderId="0" xfId="0" applyNumberFormat="1" applyFont="1" applyFill="1" applyAlignment="1">
      <alignment horizontal="center"/>
    </xf>
    <xf numFmtId="168" fontId="1" fillId="0" borderId="0" xfId="0" applyNumberFormat="1" applyFont="1" applyBorder="1" applyAlignment="1">
      <alignment horizontal="center"/>
    </xf>
    <xf numFmtId="192" fontId="5" fillId="4" borderId="0" xfId="0" applyNumberFormat="1" applyFont="1" applyFill="1" applyAlignment="1">
      <alignment horizontal="center"/>
    </xf>
    <xf numFmtId="0" fontId="8" fillId="0" borderId="0" xfId="0" applyFont="1" applyFill="1" applyBorder="1"/>
    <xf numFmtId="192" fontId="0" fillId="0" borderId="1" xfId="0" applyNumberFormat="1" applyBorder="1" applyAlignment="1">
      <alignment horizontal="center"/>
    </xf>
    <xf numFmtId="192" fontId="0" fillId="0" borderId="1" xfId="0" applyNumberFormat="1" applyBorder="1"/>
    <xf numFmtId="192" fontId="3" fillId="0" borderId="1" xfId="0" applyNumberFormat="1" applyFont="1" applyBorder="1"/>
    <xf numFmtId="192" fontId="0" fillId="0" borderId="1" xfId="0" applyNumberFormat="1" applyFill="1" applyBorder="1"/>
    <xf numFmtId="167" fontId="0" fillId="0" borderId="0" xfId="0" applyNumberFormat="1" applyFill="1" applyAlignment="1">
      <alignment horizontal="left"/>
    </xf>
    <xf numFmtId="164" fontId="1" fillId="0" borderId="0" xfId="0" applyNumberFormat="1" applyFont="1" applyFill="1" applyAlignment="1">
      <alignment horizontal="center"/>
    </xf>
    <xf numFmtId="164" fontId="12" fillId="0" borderId="0" xfId="0" applyNumberFormat="1" applyFont="1" applyFill="1" applyAlignment="1">
      <alignment horizontal="center"/>
    </xf>
    <xf numFmtId="0" fontId="12" fillId="0" borderId="0" xfId="0" applyFont="1" applyBorder="1" applyAlignment="1">
      <alignment horizontal="center"/>
    </xf>
    <xf numFmtId="0" fontId="8" fillId="0" borderId="0" xfId="0" applyFont="1" applyBorder="1" applyAlignment="1">
      <alignment horizontal="center"/>
    </xf>
    <xf numFmtId="0" fontId="14" fillId="0" borderId="0" xfId="0" applyFont="1" applyFill="1"/>
    <xf numFmtId="192" fontId="0" fillId="0" borderId="0" xfId="0" applyNumberFormat="1" applyFill="1" applyAlignment="1">
      <alignment horizontal="center"/>
    </xf>
    <xf numFmtId="9" fontId="12" fillId="0" borderId="0" xfId="0" applyNumberFormat="1" applyFont="1" applyBorder="1" applyAlignment="1">
      <alignment horizontal="center"/>
    </xf>
    <xf numFmtId="49" fontId="5" fillId="0" borderId="0" xfId="0" applyNumberFormat="1" applyFont="1" applyBorder="1" applyAlignment="1">
      <alignment horizontal="center"/>
    </xf>
    <xf numFmtId="0" fontId="0" fillId="2" borderId="0" xfId="0" applyFill="1"/>
    <xf numFmtId="0" fontId="12" fillId="0" borderId="1" xfId="0" applyFont="1" applyBorder="1" applyAlignment="1">
      <alignment horizontal="center"/>
    </xf>
    <xf numFmtId="4" fontId="0" fillId="0" borderId="0" xfId="0" applyNumberFormat="1" applyAlignment="1">
      <alignment horizontal="center"/>
    </xf>
    <xf numFmtId="166" fontId="0" fillId="2" borderId="0" xfId="0" applyNumberFormat="1" applyFill="1" applyBorder="1" applyAlignment="1">
      <alignment horizontal="center"/>
    </xf>
    <xf numFmtId="4" fontId="0" fillId="3" borderId="0" xfId="0" applyNumberFormat="1" applyFill="1" applyAlignment="1">
      <alignment horizontal="center"/>
    </xf>
    <xf numFmtId="0" fontId="20" fillId="0" borderId="0" xfId="0" applyFont="1" applyFill="1" applyAlignment="1">
      <alignment horizontal="center"/>
    </xf>
    <xf numFmtId="0" fontId="19" fillId="0" borderId="0" xfId="0" applyFont="1" applyFill="1" applyAlignment="1">
      <alignment horizontal="center"/>
    </xf>
    <xf numFmtId="0" fontId="8" fillId="0" borderId="0" xfId="0" applyFont="1" applyAlignment="1">
      <alignment horizontal="center"/>
    </xf>
    <xf numFmtId="0" fontId="14" fillId="0" borderId="0" xfId="0" applyFont="1" applyAlignment="1">
      <alignment horizontal="center"/>
    </xf>
    <xf numFmtId="3" fontId="0" fillId="0" borderId="0" xfId="0" applyNumberFormat="1" applyFill="1" applyAlignment="1">
      <alignment horizontal="center"/>
    </xf>
    <xf numFmtId="3" fontId="20" fillId="0" borderId="0" xfId="0" applyNumberFormat="1" applyFont="1" applyFill="1" applyAlignment="1">
      <alignment horizontal="center"/>
    </xf>
    <xf numFmtId="3" fontId="0" fillId="2" borderId="0" xfId="0" applyNumberFormat="1" applyFill="1" applyAlignment="1">
      <alignment horizontal="center"/>
    </xf>
    <xf numFmtId="3" fontId="19" fillId="0" borderId="0" xfId="0" applyNumberFormat="1" applyFont="1" applyFill="1" applyAlignment="1">
      <alignment horizontal="center"/>
    </xf>
    <xf numFmtId="3" fontId="8" fillId="0" borderId="0" xfId="0" applyNumberFormat="1" applyFont="1" applyAlignment="1">
      <alignment horizontal="center"/>
    </xf>
    <xf numFmtId="3" fontId="14" fillId="0" borderId="0" xfId="0" applyNumberFormat="1" applyFont="1" applyAlignment="1">
      <alignment horizontal="center"/>
    </xf>
    <xf numFmtId="0" fontId="0" fillId="0" borderId="0" xfId="0" applyFill="1" applyAlignment="1">
      <alignment horizontal="left"/>
    </xf>
    <xf numFmtId="3" fontId="7" fillId="0" borderId="0" xfId="0" applyNumberFormat="1" applyFont="1" applyFill="1" applyAlignment="1">
      <alignment horizontal="center"/>
    </xf>
    <xf numFmtId="9" fontId="1" fillId="0" borderId="0" xfId="2" applyFont="1" applyFill="1" applyBorder="1" applyAlignment="1">
      <alignment horizontal="center"/>
    </xf>
    <xf numFmtId="0" fontId="0" fillId="0" borderId="0" xfId="0" applyFill="1" applyBorder="1" applyAlignment="1">
      <alignment horizontal="right"/>
    </xf>
    <xf numFmtId="3" fontId="0" fillId="0" borderId="0" xfId="0" applyNumberFormat="1" applyFill="1" applyBorder="1" applyAlignment="1">
      <alignment horizontal="center"/>
    </xf>
    <xf numFmtId="9" fontId="0" fillId="0" borderId="0" xfId="0" applyNumberFormat="1" applyFill="1" applyBorder="1" applyAlignment="1">
      <alignment horizontal="center"/>
    </xf>
    <xf numFmtId="1" fontId="1"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192" fontId="12" fillId="0" borderId="0" xfId="0" applyNumberFormat="1" applyFont="1" applyFill="1" applyBorder="1" applyAlignment="1">
      <alignment horizontal="center"/>
    </xf>
    <xf numFmtId="166" fontId="1" fillId="0" borderId="0" xfId="0" applyNumberFormat="1" applyFont="1" applyFill="1" applyAlignment="1">
      <alignment horizontal="center"/>
    </xf>
    <xf numFmtId="168" fontId="0" fillId="0" borderId="4" xfId="0" applyNumberFormat="1" applyFill="1" applyBorder="1" applyAlignment="1">
      <alignment horizontal="center"/>
    </xf>
    <xf numFmtId="168" fontId="12" fillId="0" borderId="0" xfId="0" applyNumberFormat="1" applyFont="1" applyFill="1" applyAlignment="1">
      <alignment horizontal="center"/>
    </xf>
    <xf numFmtId="0" fontId="12" fillId="2" borderId="0" xfId="0" applyFont="1" applyFill="1" applyAlignment="1">
      <alignment horizontal="left"/>
    </xf>
    <xf numFmtId="0" fontId="0" fillId="0" borderId="6" xfId="0" applyFill="1" applyBorder="1"/>
    <xf numFmtId="0" fontId="0" fillId="0" borderId="7" xfId="0" applyBorder="1"/>
    <xf numFmtId="0" fontId="0" fillId="0" borderId="8" xfId="0" applyFill="1" applyBorder="1"/>
    <xf numFmtId="0" fontId="0" fillId="0" borderId="9" xfId="0" applyBorder="1" applyAlignment="1">
      <alignment horizontal="right"/>
    </xf>
    <xf numFmtId="0" fontId="0" fillId="0" borderId="6" xfId="0" applyBorder="1" applyAlignment="1">
      <alignment horizontal="center"/>
    </xf>
    <xf numFmtId="0" fontId="0" fillId="0" borderId="10" xfId="0" applyFill="1" applyBorder="1" applyAlignment="1">
      <alignment horizontal="right"/>
    </xf>
    <xf numFmtId="0" fontId="1" fillId="0" borderId="9" xfId="0" applyFont="1" applyFill="1" applyBorder="1"/>
    <xf numFmtId="0" fontId="12" fillId="0" borderId="10" xfId="0" applyFont="1" applyBorder="1"/>
    <xf numFmtId="0" fontId="0" fillId="0" borderId="1" xfId="0" applyFill="1" applyBorder="1"/>
    <xf numFmtId="9" fontId="0" fillId="0" borderId="1" xfId="2" applyFont="1" applyFill="1" applyBorder="1" applyAlignment="1">
      <alignment horizontal="center"/>
    </xf>
    <xf numFmtId="1" fontId="1" fillId="0" borderId="0" xfId="0" applyNumberFormat="1" applyFont="1" applyFill="1" applyAlignment="1">
      <alignment horizontal="center"/>
    </xf>
    <xf numFmtId="167" fontId="13" fillId="0" borderId="0" xfId="0" applyNumberFormat="1" applyFont="1" applyFill="1" applyAlignment="1">
      <alignment horizontal="center"/>
    </xf>
    <xf numFmtId="49" fontId="13" fillId="0" borderId="0" xfId="0" applyNumberFormat="1" applyFont="1" applyFill="1" applyAlignment="1">
      <alignment horizontal="left" wrapText="1"/>
    </xf>
    <xf numFmtId="174" fontId="13" fillId="0" borderId="0" xfId="0" applyNumberFormat="1" applyFont="1" applyFill="1" applyAlignment="1">
      <alignment horizontal="center"/>
    </xf>
    <xf numFmtId="0" fontId="0" fillId="0" borderId="4" xfId="0" applyFill="1" applyBorder="1" applyAlignment="1">
      <alignment horizontal="center"/>
    </xf>
    <xf numFmtId="1" fontId="12" fillId="0" borderId="0" xfId="0" applyNumberFormat="1" applyFont="1" applyFill="1" applyAlignment="1">
      <alignment horizontal="center"/>
    </xf>
    <xf numFmtId="0" fontId="12" fillId="0" borderId="0" xfId="0" applyFont="1" applyFill="1" applyAlignment="1">
      <alignment horizontal="center"/>
    </xf>
    <xf numFmtId="0" fontId="13" fillId="0" borderId="0" xfId="0" applyFont="1" applyFill="1" applyBorder="1"/>
    <xf numFmtId="0" fontId="28" fillId="0" borderId="0" xfId="0" applyFont="1"/>
    <xf numFmtId="192" fontId="28" fillId="0" borderId="0" xfId="0" applyNumberFormat="1" applyFont="1" applyAlignment="1">
      <alignment horizontal="center"/>
    </xf>
    <xf numFmtId="192" fontId="20" fillId="0" borderId="0" xfId="2" applyNumberFormat="1" applyFont="1" applyFill="1" applyAlignment="1">
      <alignment horizontal="center"/>
    </xf>
    <xf numFmtId="9" fontId="20" fillId="0" borderId="0" xfId="2" applyFont="1" applyFill="1" applyAlignment="1">
      <alignment horizontal="left"/>
    </xf>
    <xf numFmtId="192" fontId="0" fillId="0" borderId="5" xfId="0" applyNumberFormat="1" applyBorder="1" applyAlignment="1">
      <alignment horizontal="center"/>
    </xf>
    <xf numFmtId="0" fontId="43" fillId="0" borderId="0" xfId="0" applyFont="1"/>
    <xf numFmtId="0" fontId="3" fillId="0" borderId="0" xfId="0" applyFont="1" applyFill="1" applyAlignment="1">
      <alignment horizontal="right"/>
    </xf>
    <xf numFmtId="1" fontId="3" fillId="0" borderId="0" xfId="0" applyNumberFormat="1" applyFont="1" applyAlignment="1">
      <alignment horizontal="left"/>
    </xf>
    <xf numFmtId="193" fontId="0" fillId="0" borderId="0" xfId="0" applyNumberFormat="1" applyFill="1" applyAlignment="1">
      <alignment horizontal="center"/>
    </xf>
    <xf numFmtId="188" fontId="0" fillId="0" borderId="0" xfId="0" applyNumberFormat="1" applyFill="1" applyBorder="1" applyAlignment="1">
      <alignment horizontal="center"/>
    </xf>
    <xf numFmtId="187" fontId="0" fillId="0" borderId="0" xfId="0" applyNumberFormat="1" applyFill="1" applyAlignment="1">
      <alignment horizontal="center"/>
    </xf>
    <xf numFmtId="10" fontId="0" fillId="0" borderId="0" xfId="2" applyNumberFormat="1" applyFont="1" applyFill="1" applyAlignment="1">
      <alignment horizontal="center"/>
    </xf>
    <xf numFmtId="168" fontId="2" fillId="0" borderId="0" xfId="0" applyNumberFormat="1" applyFont="1" applyFill="1" applyAlignment="1">
      <alignment horizontal="center"/>
    </xf>
    <xf numFmtId="9" fontId="13" fillId="0" borderId="0" xfId="2" applyFont="1" applyFill="1" applyAlignment="1">
      <alignment horizontal="center"/>
    </xf>
    <xf numFmtId="203" fontId="0" fillId="3" borderId="0" xfId="0" applyNumberFormat="1" applyFill="1" applyAlignment="1">
      <alignment horizontal="center"/>
    </xf>
    <xf numFmtId="192" fontId="0" fillId="3" borderId="0" xfId="0" applyNumberFormat="1" applyFill="1" applyAlignment="1">
      <alignment horizontal="center"/>
    </xf>
    <xf numFmtId="199" fontId="0" fillId="0" borderId="0" xfId="0" applyNumberFormat="1" applyFill="1" applyAlignment="1">
      <alignment horizontal="right"/>
    </xf>
    <xf numFmtId="192" fontId="45" fillId="0" borderId="1" xfId="0" applyNumberFormat="1" applyFont="1" applyBorder="1" applyAlignment="1">
      <alignment horizontal="center"/>
    </xf>
    <xf numFmtId="192" fontId="13" fillId="0" borderId="1" xfId="0" applyNumberFormat="1" applyFont="1" applyBorder="1" applyAlignment="1">
      <alignment horizontal="center"/>
    </xf>
    <xf numFmtId="166" fontId="0" fillId="0" borderId="0" xfId="2" applyNumberFormat="1" applyFont="1" applyFill="1" applyAlignment="1">
      <alignment horizontal="center"/>
    </xf>
    <xf numFmtId="49" fontId="3" fillId="0" borderId="0" xfId="0" applyNumberFormat="1" applyFont="1" applyFill="1" applyAlignment="1">
      <alignment wrapText="1"/>
    </xf>
    <xf numFmtId="168" fontId="12" fillId="0" borderId="0" xfId="0" applyNumberFormat="1" applyFont="1" applyAlignment="1">
      <alignment horizontal="center"/>
    </xf>
    <xf numFmtId="192" fontId="12" fillId="0" borderId="0" xfId="0" applyNumberFormat="1" applyFont="1" applyAlignment="1">
      <alignment horizontal="center"/>
    </xf>
    <xf numFmtId="0" fontId="0" fillId="0" borderId="0" xfId="0" applyAlignment="1">
      <alignment vertical="top"/>
    </xf>
    <xf numFmtId="0" fontId="0" fillId="0" borderId="0" xfId="0" applyAlignment="1">
      <alignment vertical="center"/>
    </xf>
    <xf numFmtId="209" fontId="13" fillId="0" borderId="0" xfId="0" applyNumberFormat="1" applyFont="1" applyFill="1" applyAlignment="1">
      <alignment horizontal="center"/>
    </xf>
    <xf numFmtId="209" fontId="13" fillId="3" borderId="0" xfId="0" applyNumberFormat="1" applyFont="1" applyFill="1" applyAlignment="1">
      <alignment horizontal="center"/>
    </xf>
    <xf numFmtId="209" fontId="13" fillId="3" borderId="1" xfId="0" applyNumberFormat="1" applyFont="1" applyFill="1" applyBorder="1" applyAlignment="1">
      <alignment horizontal="center"/>
    </xf>
    <xf numFmtId="181" fontId="13" fillId="0" borderId="0" xfId="0" applyNumberFormat="1" applyFont="1" applyFill="1"/>
    <xf numFmtId="192" fontId="13" fillId="0" borderId="0" xfId="0" applyNumberFormat="1" applyFont="1" applyFill="1" applyBorder="1" applyAlignment="1">
      <alignment horizontal="center"/>
    </xf>
    <xf numFmtId="192" fontId="13" fillId="0" borderId="1" xfId="0" applyNumberFormat="1" applyFont="1" applyFill="1" applyBorder="1" applyAlignment="1">
      <alignment horizontal="center"/>
    </xf>
    <xf numFmtId="180" fontId="0" fillId="0" borderId="0" xfId="0" applyNumberFormat="1" applyFill="1" applyAlignment="1">
      <alignment horizontal="center"/>
    </xf>
    <xf numFmtId="181" fontId="0" fillId="2" borderId="0" xfId="0" applyNumberFormat="1" applyFill="1" applyAlignment="1">
      <alignment horizontal="center"/>
    </xf>
    <xf numFmtId="0" fontId="12" fillId="0" borderId="0" xfId="0" applyFont="1" applyAlignment="1">
      <alignment horizontal="right"/>
    </xf>
    <xf numFmtId="0" fontId="12" fillId="0" borderId="0" xfId="0" applyFont="1" applyAlignment="1"/>
    <xf numFmtId="0" fontId="12" fillId="0" borderId="0" xfId="0" applyFont="1" applyBorder="1" applyAlignment="1">
      <alignment horizontal="left"/>
    </xf>
    <xf numFmtId="0" fontId="0" fillId="0" borderId="0" xfId="0" applyAlignment="1">
      <alignment horizontal="center" vertical="center"/>
    </xf>
    <xf numFmtId="181" fontId="13" fillId="0" borderId="0" xfId="0" applyNumberFormat="1" applyFont="1" applyFill="1" applyAlignment="1">
      <alignment horizontal="center"/>
    </xf>
    <xf numFmtId="9" fontId="13" fillId="0" borderId="0" xfId="2" applyFont="1" applyFill="1" applyAlignment="1">
      <alignment horizontal="center" vertical="center"/>
    </xf>
    <xf numFmtId="0" fontId="0" fillId="0" borderId="0" xfId="0" applyAlignment="1"/>
    <xf numFmtId="209" fontId="0" fillId="3" borderId="0" xfId="0" applyNumberFormat="1" applyFill="1" applyAlignment="1">
      <alignment horizontal="center"/>
    </xf>
    <xf numFmtId="172" fontId="0" fillId="0" borderId="0" xfId="0" applyNumberFormat="1" applyFill="1" applyAlignment="1">
      <alignment horizontal="center"/>
    </xf>
    <xf numFmtId="168" fontId="13" fillId="0" borderId="0" xfId="0" applyNumberFormat="1" applyFont="1" applyFill="1" applyBorder="1" applyAlignment="1">
      <alignment horizontal="center"/>
    </xf>
    <xf numFmtId="0" fontId="0" fillId="0" borderId="0" xfId="0" applyFill="1" applyBorder="1" applyAlignment="1">
      <alignment horizontal="left"/>
    </xf>
    <xf numFmtId="3" fontId="3" fillId="0" borderId="0" xfId="0" applyNumberFormat="1" applyFont="1" applyFill="1" applyBorder="1" applyAlignment="1">
      <alignment horizontal="center"/>
    </xf>
    <xf numFmtId="0" fontId="0" fillId="0" borderId="0" xfId="0" applyFill="1" applyAlignment="1">
      <alignment horizontal="center" vertical="center"/>
    </xf>
    <xf numFmtId="0" fontId="23" fillId="7" borderId="0" xfId="0" applyFont="1" applyFill="1" applyBorder="1" applyAlignment="1">
      <alignment horizontal="left" vertical="center"/>
    </xf>
    <xf numFmtId="0" fontId="48" fillId="0" borderId="0" xfId="0" applyFont="1" applyFill="1" applyBorder="1"/>
    <xf numFmtId="0" fontId="12" fillId="0" borderId="7" xfId="0" applyFont="1" applyFill="1" applyBorder="1"/>
    <xf numFmtId="0" fontId="0" fillId="0" borderId="11" xfId="0" applyBorder="1"/>
    <xf numFmtId="198" fontId="0" fillId="0" borderId="0" xfId="0" applyNumberFormat="1" applyFill="1" applyBorder="1" applyAlignment="1">
      <alignment horizontal="center"/>
    </xf>
    <xf numFmtId="3" fontId="13" fillId="0" borderId="4" xfId="0" applyNumberFormat="1" applyFont="1" applyFill="1" applyBorder="1" applyAlignment="1">
      <alignment horizontal="center"/>
    </xf>
    <xf numFmtId="0" fontId="3" fillId="0" borderId="6" xfId="0" applyFont="1" applyFill="1" applyBorder="1" applyAlignment="1">
      <alignment horizontal="center"/>
    </xf>
    <xf numFmtId="0" fontId="3" fillId="0" borderId="11" xfId="0" applyFont="1" applyFill="1" applyBorder="1" applyAlignment="1">
      <alignment horizontal="center"/>
    </xf>
    <xf numFmtId="0" fontId="3" fillId="0" borderId="6" xfId="0" applyFont="1" applyFill="1" applyBorder="1" applyAlignment="1">
      <alignment horizontal="left"/>
    </xf>
    <xf numFmtId="0" fontId="5" fillId="0" borderId="0" xfId="0" applyFont="1" applyFill="1" applyBorder="1"/>
    <xf numFmtId="0" fontId="49" fillId="0" borderId="0" xfId="0" applyFont="1" applyAlignment="1">
      <alignment horizontal="left"/>
    </xf>
    <xf numFmtId="0" fontId="50" fillId="0" borderId="0" xfId="0" applyFont="1" applyAlignment="1">
      <alignment horizontal="left"/>
    </xf>
    <xf numFmtId="3" fontId="49" fillId="0" borderId="12" xfId="0" applyNumberFormat="1" applyFont="1" applyBorder="1" applyAlignment="1">
      <alignment horizontal="center"/>
    </xf>
    <xf numFmtId="3" fontId="50" fillId="0" borderId="12" xfId="0" applyNumberFormat="1" applyFont="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198" fontId="1" fillId="3" borderId="0" xfId="0" applyNumberFormat="1" applyFont="1" applyFill="1" applyBorder="1" applyAlignment="1">
      <alignment horizontal="center"/>
    </xf>
    <xf numFmtId="0" fontId="1" fillId="0" borderId="6" xfId="0" applyFont="1" applyFill="1" applyBorder="1"/>
    <xf numFmtId="186" fontId="3" fillId="3" borderId="0" xfId="0" applyNumberFormat="1" applyFont="1" applyFill="1" applyBorder="1" applyAlignment="1">
      <alignment horizontal="center"/>
    </xf>
    <xf numFmtId="186" fontId="3" fillId="3" borderId="5" xfId="0" applyNumberFormat="1" applyFont="1" applyFill="1" applyBorder="1" applyAlignment="1">
      <alignment horizontal="center"/>
    </xf>
    <xf numFmtId="186" fontId="0" fillId="3" borderId="0" xfId="0" applyNumberFormat="1" applyFill="1" applyBorder="1" applyAlignment="1">
      <alignment horizontal="center"/>
    </xf>
    <xf numFmtId="186" fontId="0" fillId="3" borderId="5" xfId="0" applyNumberFormat="1" applyFill="1" applyBorder="1" applyAlignment="1">
      <alignment horizontal="center"/>
    </xf>
    <xf numFmtId="168" fontId="12" fillId="0" borderId="1" xfId="0" applyNumberFormat="1" applyFont="1" applyFill="1" applyBorder="1" applyAlignment="1">
      <alignment horizontal="center"/>
    </xf>
    <xf numFmtId="0" fontId="12" fillId="0" borderId="0" xfId="0" applyFont="1" applyAlignment="1">
      <alignment vertical="center"/>
    </xf>
    <xf numFmtId="0" fontId="0" fillId="2" borderId="0" xfId="0" applyFill="1" applyAlignment="1">
      <alignment horizontal="center" vertical="center"/>
    </xf>
    <xf numFmtId="3" fontId="0" fillId="0" borderId="0" xfId="0" applyNumberFormat="1" applyAlignment="1">
      <alignment horizontal="center" vertical="center"/>
    </xf>
    <xf numFmtId="0" fontId="12" fillId="0" borderId="0" xfId="0" applyFont="1" applyAlignment="1">
      <alignment vertical="center" wrapText="1"/>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horizontal="right"/>
    </xf>
    <xf numFmtId="9" fontId="0" fillId="0" borderId="0" xfId="0" applyNumberFormat="1" applyFill="1" applyAlignment="1">
      <alignment horizontal="center"/>
    </xf>
    <xf numFmtId="0" fontId="18" fillId="0" borderId="0" xfId="0" applyFont="1" applyFill="1" applyAlignment="1">
      <alignment vertical="center"/>
    </xf>
    <xf numFmtId="0" fontId="12" fillId="0" borderId="0" xfId="0" applyFont="1" applyBorder="1" applyAlignment="1">
      <alignment vertical="center"/>
    </xf>
    <xf numFmtId="49" fontId="7" fillId="0" borderId="0" xfId="0" applyNumberFormat="1" applyFont="1" applyFill="1" applyBorder="1" applyAlignment="1">
      <alignment horizontal="center" vertical="center"/>
    </xf>
    <xf numFmtId="0" fontId="23" fillId="0" borderId="0" xfId="0" applyFont="1" applyFill="1" applyBorder="1" applyAlignment="1">
      <alignment horizontal="center"/>
    </xf>
    <xf numFmtId="0" fontId="8" fillId="0" borderId="0" xfId="0" applyFont="1" applyFill="1" applyAlignment="1">
      <alignment horizontal="right" vertical="center"/>
    </xf>
    <xf numFmtId="168" fontId="12" fillId="0" borderId="0" xfId="0" applyNumberFormat="1" applyFont="1" applyFill="1" applyAlignment="1">
      <alignment horizontal="center" vertical="center"/>
    </xf>
    <xf numFmtId="0" fontId="12" fillId="0" borderId="0" xfId="0" applyFont="1" applyFill="1" applyAlignment="1">
      <alignment vertical="center"/>
    </xf>
    <xf numFmtId="49" fontId="5" fillId="0" borderId="0" xfId="0" applyNumberFormat="1" applyFont="1" applyFill="1" applyAlignment="1">
      <alignment horizontal="left" vertical="center" wrapText="1"/>
    </xf>
    <xf numFmtId="9" fontId="18" fillId="0" borderId="0" xfId="2" applyFont="1" applyFill="1" applyBorder="1" applyAlignment="1" applyProtection="1">
      <alignment horizontal="center" vertical="center" wrapText="1"/>
    </xf>
    <xf numFmtId="2" fontId="5" fillId="0" borderId="0" xfId="0" applyNumberFormat="1" applyFont="1" applyFill="1" applyAlignment="1">
      <alignment horizontal="left" vertical="center"/>
    </xf>
    <xf numFmtId="2" fontId="5" fillId="0" borderId="0" xfId="0" applyNumberFormat="1" applyFont="1" applyFill="1" applyBorder="1"/>
    <xf numFmtId="173" fontId="18" fillId="0" borderId="0" xfId="2" applyNumberFormat="1" applyFont="1" applyFill="1" applyBorder="1" applyAlignment="1" applyProtection="1">
      <alignment horizontal="center" vertical="center" wrapText="1"/>
    </xf>
    <xf numFmtId="9" fontId="0" fillId="0" borderId="1" xfId="2" applyFont="1" applyBorder="1" applyAlignment="1">
      <alignment horizontal="center"/>
    </xf>
    <xf numFmtId="9" fontId="12" fillId="0" borderId="0" xfId="2" applyFont="1" applyAlignment="1">
      <alignment horizontal="center"/>
    </xf>
    <xf numFmtId="0" fontId="0" fillId="0" borderId="0" xfId="0" applyBorder="1" applyAlignment="1">
      <alignment horizontal="right"/>
    </xf>
    <xf numFmtId="0" fontId="0" fillId="0" borderId="1" xfId="0" applyBorder="1" applyAlignment="1">
      <alignment horizontal="right"/>
    </xf>
    <xf numFmtId="2" fontId="12" fillId="0" borderId="0" xfId="0" applyNumberFormat="1" applyFont="1" applyFill="1"/>
    <xf numFmtId="9" fontId="12" fillId="0" borderId="0" xfId="2" applyFont="1" applyFill="1" applyAlignment="1">
      <alignment horizontal="center"/>
    </xf>
    <xf numFmtId="173" fontId="0" fillId="0" borderId="0" xfId="2" applyNumberFormat="1" applyFont="1" applyAlignment="1">
      <alignment horizontal="center"/>
    </xf>
    <xf numFmtId="173" fontId="0" fillId="0" borderId="1" xfId="2" applyNumberFormat="1" applyFont="1" applyBorder="1" applyAlignment="1">
      <alignment horizontal="center"/>
    </xf>
    <xf numFmtId="0" fontId="13" fillId="2" borderId="0" xfId="0" applyFont="1" applyFill="1" applyAlignment="1">
      <alignment horizontal="center" vertical="center" wrapText="1"/>
    </xf>
    <xf numFmtId="0" fontId="1" fillId="0" borderId="13" xfId="0" applyFont="1" applyBorder="1"/>
    <xf numFmtId="192" fontId="0" fillId="0" borderId="14" xfId="0" applyNumberFormat="1" applyBorder="1"/>
    <xf numFmtId="192" fontId="0" fillId="0" borderId="14" xfId="0" applyNumberFormat="1" applyFill="1" applyBorder="1"/>
    <xf numFmtId="168" fontId="13" fillId="0" borderId="0" xfId="0" applyNumberFormat="1" applyFont="1" applyBorder="1" applyAlignment="1">
      <alignment horizontal="center"/>
    </xf>
    <xf numFmtId="0" fontId="21" fillId="0" borderId="0" xfId="0" applyFont="1" applyFill="1" applyAlignment="1">
      <alignment vertical="center"/>
    </xf>
    <xf numFmtId="173" fontId="12" fillId="8" borderId="0" xfId="2" applyNumberFormat="1" applyFont="1" applyFill="1" applyBorder="1" applyAlignment="1" applyProtection="1">
      <alignment horizontal="center" vertical="center"/>
    </xf>
    <xf numFmtId="173" fontId="12" fillId="0" borderId="0" xfId="2" applyNumberFormat="1" applyFont="1" applyFill="1" applyBorder="1" applyAlignment="1" applyProtection="1">
      <alignment horizontal="center" vertical="center"/>
    </xf>
    <xf numFmtId="4" fontId="0" fillId="0" borderId="0" xfId="0" applyNumberFormat="1" applyFill="1" applyAlignment="1">
      <alignment horizontal="center"/>
    </xf>
    <xf numFmtId="0" fontId="7" fillId="9" borderId="0" xfId="0" applyFont="1" applyFill="1" applyAlignment="1">
      <alignment vertical="center"/>
    </xf>
    <xf numFmtId="0" fontId="8" fillId="9" borderId="0" xfId="0" applyFont="1" applyFill="1" applyBorder="1" applyAlignment="1">
      <alignment horizontal="left" vertical="center" wrapText="1"/>
    </xf>
    <xf numFmtId="0" fontId="8" fillId="9" borderId="0" xfId="0" applyFont="1" applyFill="1" applyAlignment="1">
      <alignment vertical="center" wrapText="1"/>
    </xf>
    <xf numFmtId="0" fontId="0" fillId="9" borderId="0" xfId="0" applyFill="1"/>
    <xf numFmtId="0" fontId="5" fillId="9" borderId="0" xfId="0" applyFont="1" applyFill="1" applyAlignment="1">
      <alignment vertical="center"/>
    </xf>
    <xf numFmtId="0" fontId="0" fillId="9" borderId="0" xfId="0" applyFill="1" applyBorder="1"/>
    <xf numFmtId="0" fontId="15" fillId="9" borderId="0" xfId="0" applyFont="1" applyFill="1" applyAlignment="1">
      <alignment horizontal="center"/>
    </xf>
    <xf numFmtId="0" fontId="0" fillId="9" borderId="0" xfId="0" applyFill="1" applyAlignment="1">
      <alignment horizontal="center"/>
    </xf>
    <xf numFmtId="0" fontId="5" fillId="9" borderId="0" xfId="0" applyFont="1" applyFill="1"/>
    <xf numFmtId="0" fontId="5" fillId="9" borderId="0" xfId="0" applyFont="1" applyFill="1" applyAlignment="1">
      <alignment horizontal="center"/>
    </xf>
    <xf numFmtId="191" fontId="40" fillId="9" borderId="0" xfId="0" applyNumberFormat="1" applyFont="1" applyFill="1" applyAlignment="1">
      <alignment horizontal="left"/>
    </xf>
    <xf numFmtId="0" fontId="12" fillId="9" borderId="0" xfId="0" applyFont="1" applyFill="1"/>
    <xf numFmtId="0" fontId="1" fillId="9" borderId="0" xfId="0" applyFont="1" applyFill="1"/>
    <xf numFmtId="0" fontId="10" fillId="9" borderId="0" xfId="0" applyFont="1" applyFill="1"/>
    <xf numFmtId="0" fontId="8" fillId="9" borderId="0" xfId="0" applyFont="1" applyFill="1"/>
    <xf numFmtId="0" fontId="13" fillId="9" borderId="0" xfId="0" applyFont="1" applyFill="1"/>
    <xf numFmtId="0" fontId="13" fillId="9" borderId="0" xfId="0" applyFont="1" applyFill="1" applyAlignment="1">
      <alignment horizontal="center"/>
    </xf>
    <xf numFmtId="167" fontId="13" fillId="9" borderId="0" xfId="0" applyNumberFormat="1" applyFont="1" applyFill="1" applyAlignment="1">
      <alignment horizontal="center"/>
    </xf>
    <xf numFmtId="168" fontId="13" fillId="9" borderId="0" xfId="0" applyNumberFormat="1" applyFont="1" applyFill="1" applyAlignment="1">
      <alignment horizontal="center"/>
    </xf>
    <xf numFmtId="166" fontId="13" fillId="9" borderId="0" xfId="0" applyNumberFormat="1" applyFont="1" applyFill="1" applyAlignment="1">
      <alignment horizontal="center"/>
    </xf>
    <xf numFmtId="0" fontId="13" fillId="9" borderId="0" xfId="0" applyFont="1" applyFill="1" applyBorder="1"/>
    <xf numFmtId="0" fontId="4" fillId="10" borderId="0" xfId="0" applyFont="1" applyFill="1"/>
    <xf numFmtId="167" fontId="0" fillId="9" borderId="0" xfId="0" applyNumberFormat="1" applyFill="1" applyAlignment="1">
      <alignment horizontal="center"/>
    </xf>
    <xf numFmtId="168" fontId="0" fillId="9" borderId="0" xfId="0" applyNumberFormat="1" applyFill="1" applyAlignment="1">
      <alignment horizontal="center"/>
    </xf>
    <xf numFmtId="166" fontId="0" fillId="9" borderId="0" xfId="0" applyNumberFormat="1" applyFill="1" applyAlignment="1">
      <alignment horizontal="center"/>
    </xf>
    <xf numFmtId="0" fontId="7" fillId="9" borderId="0" xfId="0" applyFont="1" applyFill="1"/>
    <xf numFmtId="0" fontId="13" fillId="0" borderId="0" xfId="0" applyFont="1" applyFill="1" applyAlignment="1">
      <alignment horizontal="center"/>
    </xf>
    <xf numFmtId="0" fontId="0" fillId="0" borderId="0" xfId="0" applyFill="1" applyAlignment="1"/>
    <xf numFmtId="0" fontId="0" fillId="10" borderId="0" xfId="0" applyFill="1" applyAlignment="1">
      <alignment horizontal="left"/>
    </xf>
    <xf numFmtId="181" fontId="0" fillId="10" borderId="0" xfId="0" applyNumberFormat="1" applyFill="1" applyAlignment="1">
      <alignment horizontal="center"/>
    </xf>
    <xf numFmtId="0" fontId="0" fillId="10" borderId="0" xfId="0" applyFill="1" applyAlignment="1">
      <alignment horizontal="center"/>
    </xf>
    <xf numFmtId="0" fontId="5" fillId="10" borderId="0" xfId="0" applyFont="1" applyFill="1"/>
    <xf numFmtId="0" fontId="23" fillId="10" borderId="0" xfId="0" applyFont="1" applyFill="1" applyBorder="1" applyAlignment="1">
      <alignment horizontal="center" vertical="center"/>
    </xf>
    <xf numFmtId="0" fontId="36" fillId="10" borderId="0" xfId="0" applyFont="1" applyFill="1"/>
    <xf numFmtId="2" fontId="37" fillId="10" borderId="0" xfId="0" applyNumberFormat="1" applyFont="1" applyFill="1" applyBorder="1"/>
    <xf numFmtId="168" fontId="37" fillId="10" borderId="0" xfId="0" applyNumberFormat="1" applyFont="1" applyFill="1"/>
    <xf numFmtId="166" fontId="37" fillId="10" borderId="0" xfId="0" applyNumberFormat="1" applyFont="1" applyFill="1"/>
    <xf numFmtId="167" fontId="12" fillId="10" borderId="0" xfId="0" applyNumberFormat="1" applyFont="1" applyFill="1" applyAlignment="1">
      <alignment horizontal="center"/>
    </xf>
    <xf numFmtId="3" fontId="12" fillId="10" borderId="0" xfId="0" applyNumberFormat="1" applyFont="1" applyFill="1" applyAlignment="1">
      <alignment horizontal="center"/>
    </xf>
    <xf numFmtId="174" fontId="12" fillId="10" borderId="0" xfId="0" applyNumberFormat="1" applyFont="1" applyFill="1" applyAlignment="1">
      <alignment horizontal="center"/>
    </xf>
    <xf numFmtId="0" fontId="13" fillId="10" borderId="0" xfId="0" applyFont="1" applyFill="1"/>
    <xf numFmtId="0" fontId="5" fillId="0" borderId="0" xfId="0" applyFont="1"/>
    <xf numFmtId="0" fontId="0" fillId="10" borderId="0" xfId="0" applyFill="1"/>
    <xf numFmtId="0" fontId="4" fillId="10" borderId="0" xfId="0" applyFont="1" applyFill="1" applyBorder="1"/>
    <xf numFmtId="181" fontId="13" fillId="10" borderId="0" xfId="0" applyNumberFormat="1" applyFont="1" applyFill="1" applyBorder="1" applyAlignment="1">
      <alignment horizontal="center"/>
    </xf>
    <xf numFmtId="0" fontId="12" fillId="10" borderId="0" xfId="0" applyFont="1" applyFill="1"/>
    <xf numFmtId="0" fontId="13" fillId="10" borderId="0" xfId="0" applyFont="1" applyFill="1" applyBorder="1" applyAlignment="1">
      <alignment horizontal="center"/>
    </xf>
    <xf numFmtId="167" fontId="12" fillId="0" borderId="0" xfId="0" applyNumberFormat="1" applyFont="1" applyFill="1" applyAlignment="1">
      <alignment horizontal="left"/>
    </xf>
    <xf numFmtId="0" fontId="13" fillId="0" borderId="0" xfId="0" applyFont="1" applyFill="1" applyAlignment="1">
      <alignment horizontal="left"/>
    </xf>
    <xf numFmtId="0" fontId="12" fillId="2" borderId="0" xfId="0" applyFont="1" applyFill="1" applyBorder="1"/>
    <xf numFmtId="0" fontId="15" fillId="0" borderId="0" xfId="0" applyFont="1" applyFill="1" applyAlignment="1">
      <alignment horizontal="center"/>
    </xf>
    <xf numFmtId="0" fontId="15" fillId="10" borderId="0" xfId="0" applyFont="1" applyFill="1" applyBorder="1"/>
    <xf numFmtId="0" fontId="24" fillId="0" borderId="0" xfId="0" applyFont="1" applyFill="1" applyBorder="1"/>
    <xf numFmtId="0" fontId="57" fillId="0" borderId="0" xfId="0" applyFont="1" applyFill="1" applyBorder="1"/>
    <xf numFmtId="0" fontId="12" fillId="0" borderId="0" xfId="0" applyFont="1" applyFill="1" applyAlignment="1">
      <alignment horizontal="left"/>
    </xf>
    <xf numFmtId="0" fontId="57" fillId="0" borderId="0" xfId="0" applyFont="1" applyFill="1"/>
    <xf numFmtId="0" fontId="24" fillId="0" borderId="0" xfId="0" applyFont="1" applyFill="1"/>
    <xf numFmtId="0" fontId="57" fillId="0" borderId="15" xfId="0" applyFont="1" applyFill="1" applyBorder="1"/>
    <xf numFmtId="0" fontId="24" fillId="0" borderId="14" xfId="0" applyFont="1" applyFill="1" applyBorder="1"/>
    <xf numFmtId="0" fontId="7" fillId="0" borderId="0" xfId="0" applyFont="1" applyFill="1" applyAlignment="1">
      <alignment horizontal="left"/>
    </xf>
    <xf numFmtId="9" fontId="3" fillId="0" borderId="5" xfId="2" applyFill="1" applyBorder="1" applyAlignment="1">
      <alignment horizontal="center"/>
    </xf>
    <xf numFmtId="3" fontId="11" fillId="0" borderId="0" xfId="0" applyNumberFormat="1" applyFont="1" applyFill="1" applyAlignment="1">
      <alignment horizontal="center"/>
    </xf>
    <xf numFmtId="0" fontId="0" fillId="0" borderId="0" xfId="0" applyNumberFormat="1" applyFill="1"/>
    <xf numFmtId="2" fontId="0" fillId="0" borderId="0" xfId="0" applyNumberFormat="1" applyFill="1"/>
    <xf numFmtId="2" fontId="0" fillId="0" borderId="1" xfId="0" applyNumberFormat="1" applyFill="1" applyBorder="1"/>
    <xf numFmtId="49" fontId="0" fillId="0" borderId="0" xfId="0" applyNumberFormat="1" applyFill="1" applyAlignment="1">
      <alignment vertical="center" wrapText="1"/>
    </xf>
    <xf numFmtId="0" fontId="12" fillId="0" borderId="0" xfId="0" applyFont="1" applyFill="1" applyAlignment="1">
      <alignment vertical="center" wrapText="1"/>
    </xf>
    <xf numFmtId="0" fontId="13" fillId="0" borderId="1" xfId="0" applyFont="1" applyFill="1" applyBorder="1"/>
    <xf numFmtId="168" fontId="8" fillId="0" borderId="0" xfId="0" applyNumberFormat="1" applyFont="1" applyFill="1" applyAlignment="1">
      <alignment horizontal="center"/>
    </xf>
    <xf numFmtId="168" fontId="8" fillId="0" borderId="0" xfId="0" applyNumberFormat="1" applyFont="1" applyFill="1"/>
    <xf numFmtId="167" fontId="8" fillId="0" borderId="0" xfId="0" applyNumberFormat="1" applyFont="1" applyFill="1" applyAlignment="1">
      <alignment horizontal="center"/>
    </xf>
    <xf numFmtId="167" fontId="8" fillId="0" borderId="0" xfId="0" applyNumberFormat="1" applyFont="1" applyFill="1" applyBorder="1" applyAlignment="1">
      <alignment horizontal="center"/>
    </xf>
    <xf numFmtId="0" fontId="13" fillId="3" borderId="0" xfId="0" applyFont="1" applyFill="1" applyBorder="1"/>
    <xf numFmtId="49" fontId="34" fillId="0" borderId="0" xfId="0" applyNumberFormat="1" applyFont="1" applyFill="1" applyBorder="1" applyAlignment="1">
      <alignment horizontal="left" vertical="center"/>
    </xf>
    <xf numFmtId="9" fontId="13" fillId="0" borderId="0" xfId="2" applyFont="1" applyFill="1" applyAlignment="1">
      <alignment horizontal="left"/>
    </xf>
    <xf numFmtId="1" fontId="0" fillId="0" borderId="0" xfId="0" applyNumberFormat="1" applyFill="1" applyAlignment="1">
      <alignment horizontal="left"/>
    </xf>
    <xf numFmtId="204" fontId="0" fillId="0" borderId="0" xfId="0" applyNumberFormat="1" applyFill="1" applyAlignment="1">
      <alignment horizontal="center"/>
    </xf>
    <xf numFmtId="166" fontId="0" fillId="0" borderId="1" xfId="0" applyNumberFormat="1" applyFill="1" applyBorder="1" applyAlignment="1">
      <alignment horizontal="center"/>
    </xf>
    <xf numFmtId="166" fontId="13" fillId="0" borderId="0" xfId="0" applyNumberFormat="1" applyFont="1" applyFill="1" applyAlignment="1">
      <alignment horizontal="center"/>
    </xf>
    <xf numFmtId="205" fontId="12" fillId="0" borderId="0" xfId="0" applyNumberFormat="1" applyFont="1" applyFill="1" applyAlignment="1">
      <alignment horizontal="center"/>
    </xf>
    <xf numFmtId="0" fontId="58" fillId="0" borderId="0" xfId="0" applyFont="1" applyFill="1"/>
    <xf numFmtId="0" fontId="58" fillId="0" borderId="0" xfId="0" applyFont="1" applyFill="1" applyAlignment="1">
      <alignment horizontal="center"/>
    </xf>
    <xf numFmtId="166" fontId="58" fillId="0" borderId="0" xfId="0" applyNumberFormat="1" applyFont="1" applyFill="1" applyAlignment="1">
      <alignment horizontal="center"/>
    </xf>
    <xf numFmtId="167" fontId="58" fillId="0" borderId="0" xfId="0" applyNumberFormat="1" applyFont="1" applyFill="1" applyAlignment="1">
      <alignment horizontal="center"/>
    </xf>
    <xf numFmtId="168" fontId="24" fillId="0" borderId="0" xfId="0" applyNumberFormat="1" applyFont="1" applyFill="1" applyBorder="1" applyAlignment="1">
      <alignment horizontal="center"/>
    </xf>
    <xf numFmtId="168" fontId="12" fillId="0" borderId="0" xfId="0" applyNumberFormat="1" applyFont="1" applyFill="1" applyBorder="1"/>
    <xf numFmtId="170" fontId="12" fillId="0" borderId="0" xfId="0" applyNumberFormat="1" applyFont="1" applyFill="1" applyBorder="1" applyAlignment="1">
      <alignment horizontal="center"/>
    </xf>
    <xf numFmtId="185" fontId="0" fillId="0" borderId="0" xfId="0" applyNumberFormat="1" applyFill="1" applyAlignment="1">
      <alignment horizontal="center"/>
    </xf>
    <xf numFmtId="185" fontId="13" fillId="0" borderId="0" xfId="0" applyNumberFormat="1" applyFont="1" applyFill="1" applyAlignment="1">
      <alignment horizontal="center"/>
    </xf>
    <xf numFmtId="49" fontId="5" fillId="0" borderId="0" xfId="0" applyNumberFormat="1" applyFont="1" applyFill="1" applyAlignment="1">
      <alignment horizontal="left" wrapText="1"/>
    </xf>
    <xf numFmtId="0" fontId="53" fillId="0" borderId="0" xfId="0" applyFont="1" applyFill="1"/>
    <xf numFmtId="211" fontId="3" fillId="0" borderId="0" xfId="0" applyNumberFormat="1" applyFont="1" applyFill="1" applyAlignment="1">
      <alignment horizontal="left"/>
    </xf>
    <xf numFmtId="212" fontId="0" fillId="0" borderId="0" xfId="0" applyNumberFormat="1" applyFill="1" applyAlignment="1">
      <alignment horizontal="center"/>
    </xf>
    <xf numFmtId="168" fontId="24" fillId="0" borderId="0" xfId="0" applyNumberFormat="1" applyFont="1" applyFill="1" applyAlignment="1">
      <alignment horizontal="center"/>
    </xf>
    <xf numFmtId="9" fontId="24" fillId="0" borderId="0" xfId="2" applyFont="1" applyFill="1" applyBorder="1" applyAlignment="1">
      <alignment horizontal="center"/>
    </xf>
    <xf numFmtId="0" fontId="24" fillId="0" borderId="0" xfId="0" applyFont="1" applyFill="1" applyBorder="1" applyAlignment="1">
      <alignment wrapText="1"/>
    </xf>
    <xf numFmtId="177" fontId="24" fillId="0" borderId="16" xfId="0" applyNumberFormat="1" applyFont="1" applyFill="1" applyBorder="1" applyAlignment="1">
      <alignment horizontal="center"/>
    </xf>
    <xf numFmtId="177" fontId="24" fillId="0" borderId="17" xfId="0" applyNumberFormat="1" applyFont="1" applyFill="1" applyBorder="1" applyAlignment="1">
      <alignment horizontal="center"/>
    </xf>
    <xf numFmtId="0" fontId="57" fillId="0" borderId="0" xfId="0" applyFont="1" applyFill="1" applyAlignment="1">
      <alignment horizontal="left"/>
    </xf>
    <xf numFmtId="9" fontId="0" fillId="0" borderId="1" xfId="0" applyNumberFormat="1" applyFill="1" applyBorder="1" applyAlignment="1">
      <alignment horizontal="center"/>
    </xf>
    <xf numFmtId="9" fontId="13" fillId="0" borderId="1" xfId="2" applyFont="1" applyFill="1" applyBorder="1" applyAlignment="1">
      <alignment horizontal="center"/>
    </xf>
    <xf numFmtId="168" fontId="0" fillId="0" borderId="0" xfId="0" applyNumberFormat="1" applyFill="1" applyAlignment="1">
      <alignment horizontal="center" vertical="center"/>
    </xf>
    <xf numFmtId="9" fontId="0" fillId="0" borderId="0" xfId="0" applyNumberFormat="1" applyFill="1" applyAlignment="1">
      <alignment horizontal="center" vertical="center"/>
    </xf>
    <xf numFmtId="192" fontId="0" fillId="0" borderId="1" xfId="0" applyNumberFormat="1" applyFill="1" applyBorder="1" applyAlignment="1">
      <alignment horizontal="center"/>
    </xf>
    <xf numFmtId="0" fontId="43" fillId="0" borderId="0" xfId="0" applyFont="1" applyFill="1"/>
    <xf numFmtId="0" fontId="34" fillId="7" borderId="0" xfId="0" applyFont="1" applyFill="1" applyAlignment="1">
      <alignment horizontal="left" vertical="center"/>
    </xf>
    <xf numFmtId="0" fontId="5" fillId="10" borderId="0" xfId="0" applyFont="1" applyFill="1" applyBorder="1"/>
    <xf numFmtId="0" fontId="18" fillId="10" borderId="0" xfId="0" applyFont="1" applyFill="1"/>
    <xf numFmtId="167" fontId="14" fillId="10" borderId="0" xfId="0" applyNumberFormat="1" applyFont="1" applyFill="1" applyAlignment="1">
      <alignment horizontal="center"/>
    </xf>
    <xf numFmtId="0" fontId="33" fillId="10" borderId="0" xfId="0" applyFont="1" applyFill="1" applyBorder="1"/>
    <xf numFmtId="0" fontId="18" fillId="10" borderId="0" xfId="0" applyFont="1" applyFill="1" applyBorder="1"/>
    <xf numFmtId="0" fontId="13" fillId="10" borderId="0" xfId="0" applyFont="1" applyFill="1" applyBorder="1"/>
    <xf numFmtId="0" fontId="46" fillId="7" borderId="0" xfId="0" applyFont="1" applyFill="1"/>
    <xf numFmtId="0" fontId="18" fillId="7" borderId="0" xfId="0" applyFont="1" applyFill="1"/>
    <xf numFmtId="0" fontId="33" fillId="7" borderId="0" xfId="0" applyFont="1" applyFill="1" applyBorder="1" applyAlignment="1">
      <alignment horizontal="center" vertical="center"/>
    </xf>
    <xf numFmtId="0" fontId="60" fillId="7" borderId="0" xfId="0" applyFont="1" applyFill="1" applyBorder="1"/>
    <xf numFmtId="0" fontId="60" fillId="0" borderId="0" xfId="0" applyFont="1" applyFill="1" applyBorder="1"/>
    <xf numFmtId="0" fontId="46" fillId="0" borderId="0" xfId="0" applyFont="1" applyFill="1"/>
    <xf numFmtId="0" fontId="33" fillId="0" borderId="0" xfId="0" applyFont="1" applyFill="1" applyBorder="1" applyAlignment="1">
      <alignment horizontal="center" vertical="center"/>
    </xf>
    <xf numFmtId="0" fontId="15" fillId="10" borderId="0" xfId="0" applyFont="1" applyFill="1"/>
    <xf numFmtId="166" fontId="8" fillId="10" borderId="0" xfId="0" applyNumberFormat="1" applyFont="1" applyFill="1"/>
    <xf numFmtId="0" fontId="23" fillId="10" borderId="0" xfId="0" applyFont="1" applyFill="1"/>
    <xf numFmtId="0" fontId="27" fillId="10" borderId="0" xfId="0" applyFont="1" applyFill="1"/>
    <xf numFmtId="166" fontId="27" fillId="10" borderId="0" xfId="0" applyNumberFormat="1" applyFont="1" applyFill="1" applyAlignment="1">
      <alignment horizontal="center"/>
    </xf>
    <xf numFmtId="167" fontId="27" fillId="10" borderId="0" xfId="0" applyNumberFormat="1" applyFont="1" applyFill="1" applyAlignment="1">
      <alignment horizontal="center"/>
    </xf>
    <xf numFmtId="168" fontId="23" fillId="10" borderId="0" xfId="0" applyNumberFormat="1" applyFont="1" applyFill="1" applyBorder="1" applyAlignment="1">
      <alignment horizontal="center"/>
    </xf>
    <xf numFmtId="9" fontId="23" fillId="10" borderId="0" xfId="2" applyFont="1" applyFill="1" applyAlignment="1">
      <alignment horizontal="center"/>
    </xf>
    <xf numFmtId="166" fontId="9" fillId="10" borderId="0" xfId="0" applyNumberFormat="1" applyFont="1" applyFill="1"/>
    <xf numFmtId="0" fontId="7" fillId="0" borderId="0" xfId="0" applyFont="1" applyFill="1"/>
    <xf numFmtId="0" fontId="35" fillId="10" borderId="0" xfId="0" applyFont="1" applyFill="1"/>
    <xf numFmtId="166" fontId="35" fillId="10" borderId="0" xfId="0" applyNumberFormat="1" applyFont="1" applyFill="1" applyAlignment="1">
      <alignment horizontal="center"/>
    </xf>
    <xf numFmtId="167" fontId="35" fillId="10" borderId="0" xfId="0" applyNumberFormat="1" applyFont="1" applyFill="1" applyAlignment="1">
      <alignment horizontal="center"/>
    </xf>
    <xf numFmtId="0" fontId="34" fillId="10" borderId="0" xfId="0" applyFont="1" applyFill="1"/>
    <xf numFmtId="9" fontId="18" fillId="10" borderId="0" xfId="2" applyFont="1" applyFill="1" applyAlignment="1">
      <alignment horizontal="center"/>
    </xf>
    <xf numFmtId="0" fontId="14" fillId="10" borderId="0" xfId="0" applyFont="1" applyFill="1"/>
    <xf numFmtId="192" fontId="14" fillId="10" borderId="12" xfId="0" applyNumberFormat="1" applyFont="1" applyFill="1" applyBorder="1" applyAlignment="1">
      <alignment horizontal="center"/>
    </xf>
    <xf numFmtId="0" fontId="7" fillId="10" borderId="0" xfId="0" applyFont="1" applyFill="1"/>
    <xf numFmtId="0" fontId="23" fillId="0" borderId="0" xfId="0" applyFont="1" applyFill="1"/>
    <xf numFmtId="0" fontId="27" fillId="0" borderId="0" xfId="0" applyFont="1" applyFill="1"/>
    <xf numFmtId="166" fontId="27" fillId="0" borderId="0" xfId="0" applyNumberFormat="1" applyFont="1" applyFill="1" applyAlignment="1">
      <alignment horizontal="center"/>
    </xf>
    <xf numFmtId="167" fontId="27" fillId="0" borderId="0" xfId="0" applyNumberFormat="1" applyFont="1" applyFill="1" applyAlignment="1">
      <alignment horizontal="center"/>
    </xf>
    <xf numFmtId="168" fontId="23" fillId="0" borderId="0" xfId="0" applyNumberFormat="1" applyFont="1" applyFill="1" applyBorder="1" applyAlignment="1">
      <alignment horizontal="center"/>
    </xf>
    <xf numFmtId="9" fontId="23" fillId="0" borderId="0" xfId="2" applyFont="1" applyFill="1" applyAlignment="1">
      <alignment horizontal="center"/>
    </xf>
    <xf numFmtId="1" fontId="18" fillId="10" borderId="0" xfId="0" applyNumberFormat="1" applyFont="1" applyFill="1"/>
    <xf numFmtId="167" fontId="18" fillId="10" borderId="0" xfId="0" applyNumberFormat="1" applyFont="1" applyFill="1" applyAlignment="1">
      <alignment horizontal="center"/>
    </xf>
    <xf numFmtId="168" fontId="23" fillId="10" borderId="19" xfId="0" applyNumberFormat="1" applyFont="1" applyFill="1" applyBorder="1" applyAlignment="1">
      <alignment horizontal="center"/>
    </xf>
    <xf numFmtId="9" fontId="14" fillId="10" borderId="0" xfId="2" applyFont="1" applyFill="1" applyAlignment="1">
      <alignment horizontal="center"/>
    </xf>
    <xf numFmtId="166" fontId="18" fillId="10" borderId="0" xfId="0" applyNumberFormat="1" applyFont="1" applyFill="1"/>
    <xf numFmtId="168" fontId="23" fillId="10" borderId="20" xfId="0" applyNumberFormat="1" applyFont="1" applyFill="1" applyBorder="1" applyAlignment="1">
      <alignment horizontal="center"/>
    </xf>
    <xf numFmtId="166" fontId="27" fillId="10" borderId="0" xfId="0" applyNumberFormat="1" applyFont="1" applyFill="1"/>
    <xf numFmtId="192" fontId="13" fillId="0" borderId="0" xfId="0" applyNumberFormat="1" applyFont="1" applyAlignment="1">
      <alignment horizontal="center"/>
    </xf>
    <xf numFmtId="0" fontId="0" fillId="11" borderId="0" xfId="0" applyFill="1"/>
    <xf numFmtId="166" fontId="35" fillId="0" borderId="0" xfId="0" applyNumberFormat="1" applyFont="1" applyFill="1"/>
    <xf numFmtId="166" fontId="35" fillId="10" borderId="0" xfId="0" applyNumberFormat="1" applyFont="1" applyFill="1"/>
    <xf numFmtId="192" fontId="12" fillId="3" borderId="0" xfId="0" applyNumberFormat="1" applyFont="1" applyFill="1" applyAlignment="1">
      <alignment horizontal="center"/>
    </xf>
    <xf numFmtId="191" fontId="8" fillId="9" borderId="0" xfId="0" applyNumberFormat="1" applyFont="1" applyFill="1" applyAlignment="1">
      <alignment horizontal="left"/>
    </xf>
    <xf numFmtId="0" fontId="13" fillId="2" borderId="0" xfId="0" applyFont="1" applyFill="1"/>
    <xf numFmtId="0" fontId="42" fillId="0" borderId="0" xfId="0" applyFont="1"/>
    <xf numFmtId="3" fontId="13" fillId="0" borderId="0" xfId="0" applyNumberFormat="1" applyFont="1" applyFill="1" applyBorder="1" applyAlignment="1">
      <alignment horizontal="center"/>
    </xf>
    <xf numFmtId="191" fontId="5" fillId="9" borderId="0" xfId="0" applyNumberFormat="1" applyFont="1" applyFill="1" applyAlignment="1">
      <alignment horizontal="left"/>
    </xf>
    <xf numFmtId="0" fontId="0" fillId="7" borderId="0" xfId="0" applyFill="1"/>
    <xf numFmtId="181" fontId="13" fillId="0" borderId="0" xfId="0" applyNumberFormat="1" applyFont="1" applyBorder="1" applyAlignment="1">
      <alignment horizontal="left"/>
    </xf>
    <xf numFmtId="181" fontId="13" fillId="0" borderId="0" xfId="0" applyNumberFormat="1" applyFont="1" applyAlignment="1">
      <alignment horizontal="center"/>
    </xf>
    <xf numFmtId="0" fontId="13" fillId="0" borderId="0" xfId="0" applyFont="1" applyBorder="1" applyAlignment="1">
      <alignment horizontal="center"/>
    </xf>
    <xf numFmtId="3" fontId="24" fillId="0" borderId="0" xfId="0" applyNumberFormat="1" applyFont="1" applyFill="1" applyAlignment="1">
      <alignment horizontal="center"/>
    </xf>
    <xf numFmtId="0" fontId="57" fillId="0" borderId="0" xfId="0" applyFont="1" applyFill="1" applyBorder="1" applyAlignment="1">
      <alignment horizontal="right"/>
    </xf>
    <xf numFmtId="0" fontId="57" fillId="0" borderId="0" xfId="0" applyFont="1" applyFill="1" applyBorder="1" applyAlignment="1">
      <alignment horizontal="center"/>
    </xf>
    <xf numFmtId="0" fontId="59" fillId="0" borderId="0" xfId="0" applyFont="1" applyFill="1" applyAlignment="1">
      <alignment horizontal="left"/>
    </xf>
    <xf numFmtId="0" fontId="24" fillId="0" borderId="0" xfId="0" applyFont="1" applyFill="1" applyBorder="1" applyAlignment="1">
      <alignment horizontal="center"/>
    </xf>
    <xf numFmtId="3" fontId="24" fillId="0" borderId="0" xfId="0" applyNumberFormat="1" applyFont="1" applyFill="1" applyBorder="1" applyAlignment="1">
      <alignment horizontal="center"/>
    </xf>
    <xf numFmtId="0" fontId="57" fillId="3" borderId="0" xfId="0" applyFont="1" applyFill="1" applyBorder="1" applyAlignment="1">
      <alignment horizontal="center"/>
    </xf>
    <xf numFmtId="0" fontId="57" fillId="3" borderId="0" xfId="0" applyFont="1" applyFill="1"/>
    <xf numFmtId="0" fontId="57" fillId="0" borderId="0" xfId="0" applyFont="1"/>
    <xf numFmtId="181" fontId="57" fillId="0" borderId="0" xfId="0" applyNumberFormat="1" applyFont="1" applyFill="1" applyAlignment="1">
      <alignment horizontal="center"/>
    </xf>
    <xf numFmtId="9" fontId="57" fillId="0" borderId="0" xfId="0" applyNumberFormat="1" applyFont="1" applyFill="1" applyBorder="1" applyAlignment="1">
      <alignment horizontal="center"/>
    </xf>
    <xf numFmtId="0" fontId="57" fillId="0" borderId="0" xfId="0" applyFont="1" applyFill="1" applyAlignment="1">
      <alignment horizontal="center"/>
    </xf>
    <xf numFmtId="1" fontId="24" fillId="0" borderId="0" xfId="0" applyNumberFormat="1" applyFont="1" applyFill="1" applyBorder="1" applyAlignment="1">
      <alignment horizontal="center"/>
    </xf>
    <xf numFmtId="0" fontId="57" fillId="0" borderId="0" xfId="0" applyFont="1" applyBorder="1"/>
    <xf numFmtId="181" fontId="24" fillId="0" borderId="0" xfId="0" applyNumberFormat="1" applyFont="1" applyFill="1" applyAlignment="1">
      <alignment horizontal="center"/>
    </xf>
    <xf numFmtId="9" fontId="24" fillId="0" borderId="0" xfId="2" applyFont="1" applyFill="1" applyAlignment="1">
      <alignment horizontal="left"/>
    </xf>
    <xf numFmtId="0" fontId="57" fillId="0" borderId="0" xfId="0" applyFont="1" applyAlignment="1">
      <alignment horizontal="center"/>
    </xf>
    <xf numFmtId="0" fontId="24" fillId="0" borderId="0" xfId="0" applyFont="1"/>
    <xf numFmtId="184" fontId="24" fillId="0" borderId="0" xfId="0" applyNumberFormat="1" applyFont="1" applyAlignment="1">
      <alignment horizontal="center"/>
    </xf>
    <xf numFmtId="202" fontId="38" fillId="3" borderId="0" xfId="0" applyNumberFormat="1" applyFont="1" applyFill="1" applyAlignment="1">
      <alignment horizontal="center"/>
    </xf>
    <xf numFmtId="0" fontId="13" fillId="3" borderId="0" xfId="0" applyFont="1" applyFill="1" applyAlignment="1">
      <alignment horizontal="center"/>
    </xf>
    <xf numFmtId="206" fontId="0" fillId="3" borderId="0" xfId="0" applyNumberFormat="1" applyFill="1" applyAlignment="1">
      <alignment horizontal="center"/>
    </xf>
    <xf numFmtId="0" fontId="3" fillId="0" borderId="0" xfId="0" applyFont="1" applyFill="1" applyAlignment="1">
      <alignment wrapText="1"/>
    </xf>
    <xf numFmtId="0" fontId="3" fillId="0" borderId="4" xfId="0" applyFont="1" applyFill="1" applyBorder="1" applyAlignment="1">
      <alignment horizontal="center"/>
    </xf>
    <xf numFmtId="0" fontId="0" fillId="0" borderId="0" xfId="0" applyFill="1" applyAlignment="1">
      <alignment wrapText="1"/>
    </xf>
    <xf numFmtId="9" fontId="3" fillId="2" borderId="0" xfId="2" applyFont="1" applyFill="1" applyAlignment="1">
      <alignment horizontal="center"/>
    </xf>
    <xf numFmtId="166" fontId="3" fillId="2" borderId="0" xfId="0" applyNumberFormat="1" applyFont="1" applyFill="1"/>
    <xf numFmtId="9" fontId="3" fillId="2" borderId="0" xfId="2" applyFill="1" applyAlignment="1">
      <alignment horizontal="center"/>
    </xf>
    <xf numFmtId="166" fontId="0" fillId="2" borderId="0" xfId="0" applyNumberFormat="1" applyFill="1"/>
    <xf numFmtId="208" fontId="1" fillId="0" borderId="4" xfId="0" applyNumberFormat="1" applyFont="1" applyFill="1" applyBorder="1" applyAlignment="1">
      <alignment horizontal="center"/>
    </xf>
    <xf numFmtId="208" fontId="1" fillId="0" borderId="21" xfId="0" applyNumberFormat="1" applyFont="1" applyFill="1" applyBorder="1" applyAlignment="1">
      <alignment horizontal="center"/>
    </xf>
    <xf numFmtId="208" fontId="0" fillId="0" borderId="11" xfId="0" applyNumberFormat="1" applyFill="1" applyBorder="1" applyAlignment="1">
      <alignment horizontal="center"/>
    </xf>
    <xf numFmtId="9" fontId="1" fillId="0" borderId="6" xfId="2" applyFont="1" applyFill="1" applyBorder="1" applyAlignment="1">
      <alignment horizontal="center"/>
    </xf>
    <xf numFmtId="3" fontId="5" fillId="0" borderId="4" xfId="0" applyNumberFormat="1" applyFont="1" applyFill="1" applyBorder="1" applyAlignment="1">
      <alignment horizontal="center"/>
    </xf>
    <xf numFmtId="186" fontId="0" fillId="0" borderId="0" xfId="0" applyNumberFormat="1" applyFill="1" applyAlignment="1">
      <alignment horizontal="center"/>
    </xf>
    <xf numFmtId="197" fontId="24" fillId="0" borderId="22" xfId="0" applyNumberFormat="1" applyFont="1" applyFill="1" applyBorder="1" applyAlignment="1">
      <alignment horizontal="center"/>
    </xf>
    <xf numFmtId="200" fontId="1" fillId="0" borderId="0" xfId="0" applyNumberFormat="1" applyFont="1" applyFill="1" applyAlignment="1">
      <alignment horizontal="center"/>
    </xf>
    <xf numFmtId="213" fontId="1" fillId="0" borderId="0" xfId="0" applyNumberFormat="1" applyFont="1" applyFill="1" applyAlignment="1">
      <alignment horizontal="center"/>
    </xf>
    <xf numFmtId="0" fontId="57" fillId="3" borderId="0" xfId="0" applyFont="1" applyFill="1" applyAlignment="1">
      <alignment horizontal="left"/>
    </xf>
    <xf numFmtId="0" fontId="59" fillId="3" borderId="0" xfId="0" applyFont="1" applyFill="1" applyAlignment="1">
      <alignment horizontal="left"/>
    </xf>
    <xf numFmtId="181" fontId="57" fillId="3" borderId="0" xfId="0" applyNumberFormat="1" applyFont="1" applyFill="1" applyAlignment="1">
      <alignment horizontal="center"/>
    </xf>
    <xf numFmtId="181" fontId="57" fillId="3" borderId="4" xfId="0" applyNumberFormat="1" applyFont="1" applyFill="1" applyBorder="1" applyAlignment="1">
      <alignment horizontal="center"/>
    </xf>
    <xf numFmtId="9" fontId="57" fillId="3" borderId="0" xfId="2" applyFont="1" applyFill="1" applyAlignment="1">
      <alignment horizontal="center"/>
    </xf>
    <xf numFmtId="168" fontId="57" fillId="3" borderId="0" xfId="0" applyNumberFormat="1" applyFont="1" applyFill="1" applyBorder="1" applyAlignment="1">
      <alignment horizontal="center"/>
    </xf>
    <xf numFmtId="173" fontId="57" fillId="3" borderId="0" xfId="2" applyNumberFormat="1" applyFont="1" applyFill="1" applyBorder="1" applyAlignment="1">
      <alignment horizontal="center"/>
    </xf>
    <xf numFmtId="215" fontId="57" fillId="3" borderId="0" xfId="0" applyNumberFormat="1" applyFont="1" applyFill="1" applyAlignment="1">
      <alignment horizontal="center"/>
    </xf>
    <xf numFmtId="1" fontId="13" fillId="0" borderId="0" xfId="0" applyNumberFormat="1" applyFont="1" applyFill="1" applyAlignment="1">
      <alignment horizontal="center"/>
    </xf>
    <xf numFmtId="183" fontId="12" fillId="0" borderId="0" xfId="0" applyNumberFormat="1" applyFont="1" applyFill="1" applyAlignment="1">
      <alignment horizontal="center"/>
    </xf>
    <xf numFmtId="183" fontId="3" fillId="0" borderId="0" xfId="0" applyNumberFormat="1" applyFont="1" applyFill="1" applyAlignment="1">
      <alignment horizontal="left"/>
    </xf>
    <xf numFmtId="0" fontId="13" fillId="3" borderId="0" xfId="0" applyFont="1" applyFill="1" applyBorder="1" applyAlignment="1">
      <alignment horizontal="left"/>
    </xf>
    <xf numFmtId="168" fontId="0" fillId="3" borderId="0" xfId="0" applyNumberFormat="1" applyFill="1" applyAlignment="1">
      <alignment horizontal="center"/>
    </xf>
    <xf numFmtId="0" fontId="23" fillId="10" borderId="4" xfId="0" applyFont="1" applyFill="1" applyBorder="1"/>
    <xf numFmtId="0" fontId="18" fillId="10" borderId="4" xfId="0" applyFont="1" applyFill="1" applyBorder="1"/>
    <xf numFmtId="168" fontId="23" fillId="10" borderId="4" xfId="0" applyNumberFormat="1" applyFont="1" applyFill="1" applyBorder="1" applyAlignment="1">
      <alignment horizontal="center"/>
    </xf>
    <xf numFmtId="0" fontId="27" fillId="10" borderId="0" xfId="0" applyFont="1" applyFill="1" applyAlignment="1">
      <alignment horizontal="center"/>
    </xf>
    <xf numFmtId="168" fontId="23" fillId="10" borderId="18" xfId="0" applyNumberFormat="1" applyFont="1" applyFill="1" applyBorder="1" applyAlignment="1">
      <alignment horizontal="center"/>
    </xf>
    <xf numFmtId="168" fontId="23" fillId="10" borderId="24" xfId="0" applyNumberFormat="1" applyFont="1" applyFill="1" applyBorder="1" applyAlignment="1">
      <alignment horizontal="center"/>
    </xf>
    <xf numFmtId="0" fontId="14" fillId="10" borderId="0" xfId="0" applyFont="1" applyFill="1" applyAlignment="1">
      <alignment horizontal="center"/>
    </xf>
    <xf numFmtId="177" fontId="23" fillId="10" borderId="0" xfId="0" applyNumberFormat="1" applyFont="1" applyFill="1" applyBorder="1" applyAlignment="1">
      <alignment horizontal="center"/>
    </xf>
    <xf numFmtId="168" fontId="0" fillId="10" borderId="0" xfId="2" applyNumberFormat="1" applyFont="1" applyFill="1"/>
    <xf numFmtId="0" fontId="63" fillId="10" borderId="0" xfId="0" applyFont="1" applyFill="1"/>
    <xf numFmtId="0" fontId="64" fillId="10" borderId="0" xfId="0" applyFont="1" applyFill="1"/>
    <xf numFmtId="0" fontId="64" fillId="10" borderId="0" xfId="0" applyFont="1" applyFill="1" applyAlignment="1">
      <alignment horizontal="center"/>
    </xf>
    <xf numFmtId="166" fontId="64" fillId="10" borderId="0" xfId="0" applyNumberFormat="1" applyFont="1" applyFill="1" applyAlignment="1">
      <alignment horizontal="center"/>
    </xf>
    <xf numFmtId="167" fontId="64" fillId="10" borderId="0" xfId="0" applyNumberFormat="1" applyFont="1" applyFill="1" applyAlignment="1">
      <alignment horizontal="center"/>
    </xf>
    <xf numFmtId="168" fontId="63" fillId="10" borderId="19" xfId="0" applyNumberFormat="1" applyFont="1" applyFill="1" applyBorder="1" applyAlignment="1">
      <alignment horizontal="center"/>
    </xf>
    <xf numFmtId="0" fontId="63" fillId="10" borderId="0" xfId="0" applyFont="1" applyFill="1" applyAlignment="1">
      <alignment horizontal="center"/>
    </xf>
    <xf numFmtId="167" fontId="63" fillId="10" borderId="0" xfId="0" applyNumberFormat="1" applyFont="1" applyFill="1" applyAlignment="1">
      <alignment horizontal="center"/>
    </xf>
    <xf numFmtId="0" fontId="24" fillId="0" borderId="0" xfId="0" applyFont="1" applyFill="1" applyAlignment="1">
      <alignment wrapText="1"/>
    </xf>
    <xf numFmtId="0" fontId="41" fillId="7" borderId="0" xfId="0" applyFont="1" applyFill="1" applyAlignment="1"/>
    <xf numFmtId="0" fontId="65" fillId="7" borderId="0" xfId="0" applyFont="1" applyFill="1" applyAlignment="1">
      <alignment horizontal="left"/>
    </xf>
    <xf numFmtId="0" fontId="40" fillId="7" borderId="0" xfId="0" applyFont="1" applyFill="1" applyAlignment="1">
      <alignment horizontal="left"/>
    </xf>
    <xf numFmtId="175" fontId="41" fillId="7" borderId="0" xfId="0" applyNumberFormat="1" applyFont="1" applyFill="1" applyAlignment="1">
      <alignment horizontal="left"/>
    </xf>
    <xf numFmtId="0" fontId="23" fillId="7" borderId="0" xfId="0" applyFont="1" applyFill="1"/>
    <xf numFmtId="0" fontId="44" fillId="7" borderId="0" xfId="0" applyFont="1" applyFill="1" applyAlignment="1">
      <alignment horizontal="right"/>
    </xf>
    <xf numFmtId="0" fontId="44" fillId="7" borderId="0" xfId="0" applyFont="1" applyFill="1"/>
    <xf numFmtId="0" fontId="8" fillId="7" borderId="0" xfId="0" applyFont="1" applyFill="1" applyBorder="1" applyAlignment="1">
      <alignment horizontal="center"/>
    </xf>
    <xf numFmtId="214" fontId="5" fillId="9" borderId="0" xfId="0" applyNumberFormat="1" applyFont="1" applyFill="1" applyAlignment="1">
      <alignment horizontal="center"/>
    </xf>
    <xf numFmtId="0" fontId="18" fillId="9" borderId="0" xfId="0" applyFont="1" applyFill="1"/>
    <xf numFmtId="0" fontId="41" fillId="9" borderId="0" xfId="0" applyFont="1" applyFill="1" applyAlignment="1">
      <alignment horizontal="left" wrapText="1"/>
    </xf>
    <xf numFmtId="0" fontId="17" fillId="9" borderId="0" xfId="0" applyFont="1" applyFill="1" applyAlignment="1">
      <alignment horizontal="center"/>
    </xf>
    <xf numFmtId="0" fontId="7" fillId="9" borderId="0" xfId="0" applyFont="1" applyFill="1" applyAlignment="1">
      <alignment horizontal="center"/>
    </xf>
    <xf numFmtId="191" fontId="5" fillId="9" borderId="0" xfId="0" applyNumberFormat="1" applyFont="1" applyFill="1" applyAlignment="1">
      <alignment horizontal="center"/>
    </xf>
    <xf numFmtId="0" fontId="40" fillId="9" borderId="0" xfId="0" applyFont="1" applyFill="1"/>
    <xf numFmtId="0" fontId="23" fillId="9" borderId="0" xfId="0" applyFont="1" applyFill="1" applyBorder="1" applyAlignment="1">
      <alignment horizontal="left" vertical="center"/>
    </xf>
    <xf numFmtId="0" fontId="34" fillId="9" borderId="0" xfId="0" applyFont="1" applyFill="1" applyBorder="1" applyAlignment="1">
      <alignment horizontal="left" vertical="center"/>
    </xf>
    <xf numFmtId="0" fontId="33" fillId="9" borderId="0" xfId="0" applyFont="1" applyFill="1"/>
    <xf numFmtId="0" fontId="7" fillId="9" borderId="0" xfId="0" applyFont="1" applyFill="1" applyBorder="1" applyAlignment="1">
      <alignment horizontal="left"/>
    </xf>
    <xf numFmtId="0" fontId="17" fillId="9" borderId="0" xfId="0" applyFont="1" applyFill="1"/>
    <xf numFmtId="214" fontId="5" fillId="9" borderId="0" xfId="0" applyNumberFormat="1" applyFont="1" applyFill="1" applyBorder="1" applyAlignment="1">
      <alignment horizontal="left"/>
    </xf>
    <xf numFmtId="0" fontId="12" fillId="9" borderId="0" xfId="0" applyFont="1" applyFill="1" applyAlignment="1">
      <alignment horizontal="left"/>
    </xf>
    <xf numFmtId="0" fontId="5" fillId="9" borderId="0" xfId="0" applyFont="1" applyFill="1" applyAlignment="1">
      <alignment horizontal="left"/>
    </xf>
    <xf numFmtId="0" fontId="0" fillId="9" borderId="0" xfId="0" applyFill="1" applyAlignment="1">
      <alignment horizontal="left"/>
    </xf>
    <xf numFmtId="167" fontId="3" fillId="0" borderId="1" xfId="0" applyNumberFormat="1" applyFont="1" applyFill="1" applyBorder="1" applyAlignment="1">
      <alignment horizontal="center"/>
    </xf>
    <xf numFmtId="0" fontId="42" fillId="0" borderId="0" xfId="0" applyFont="1" applyBorder="1"/>
    <xf numFmtId="0" fontId="63" fillId="10" borderId="4" xfId="0" applyFont="1" applyFill="1" applyBorder="1"/>
    <xf numFmtId="0" fontId="64" fillId="10" borderId="4" xfId="0" applyFont="1" applyFill="1" applyBorder="1"/>
    <xf numFmtId="168" fontId="66" fillId="10" borderId="4" xfId="0" applyNumberFormat="1" applyFont="1" applyFill="1" applyBorder="1" applyAlignment="1">
      <alignment horizontal="center"/>
    </xf>
    <xf numFmtId="0" fontId="57" fillId="3" borderId="0" xfId="0" applyFont="1" applyFill="1" applyBorder="1" applyAlignment="1">
      <alignment horizontal="right"/>
    </xf>
    <xf numFmtId="3" fontId="57" fillId="0" borderId="0" xfId="0" applyNumberFormat="1" applyFont="1" applyFill="1" applyBorder="1" applyAlignment="1">
      <alignment horizontal="center"/>
    </xf>
    <xf numFmtId="0" fontId="57" fillId="0" borderId="0" xfId="0" applyFont="1" applyFill="1" applyAlignment="1">
      <alignment horizontal="right"/>
    </xf>
    <xf numFmtId="0" fontId="3" fillId="0" borderId="0" xfId="0" applyFont="1" applyAlignment="1">
      <alignment wrapText="1"/>
    </xf>
    <xf numFmtId="3" fontId="1" fillId="0" borderId="4" xfId="0" applyNumberFormat="1" applyFont="1" applyFill="1" applyBorder="1" applyAlignment="1">
      <alignment horizontal="center"/>
    </xf>
    <xf numFmtId="3" fontId="1" fillId="0" borderId="21" xfId="0" applyNumberFormat="1" applyFont="1" applyFill="1" applyBorder="1" applyAlignment="1">
      <alignment horizontal="center"/>
    </xf>
    <xf numFmtId="3" fontId="0" fillId="0" borderId="11" xfId="0" applyNumberFormat="1" applyFill="1" applyBorder="1" applyAlignment="1">
      <alignment horizontal="center"/>
    </xf>
    <xf numFmtId="0" fontId="67" fillId="10" borderId="0" xfId="0" applyFont="1" applyFill="1"/>
    <xf numFmtId="191" fontId="68" fillId="9" borderId="0" xfId="0" applyNumberFormat="1" applyFont="1" applyFill="1" applyAlignment="1">
      <alignment horizontal="left"/>
    </xf>
    <xf numFmtId="0" fontId="10" fillId="0" borderId="0" xfId="0" applyFont="1" applyFill="1"/>
    <xf numFmtId="0" fontId="69" fillId="0" borderId="0" xfId="0" applyFont="1" applyFill="1" applyAlignment="1">
      <alignment horizontal="left"/>
    </xf>
    <xf numFmtId="0" fontId="69" fillId="9" borderId="0" xfId="0" applyFont="1" applyFill="1" applyAlignment="1">
      <alignment horizontal="center"/>
    </xf>
    <xf numFmtId="0" fontId="69" fillId="9" borderId="0" xfId="0" applyFont="1" applyFill="1"/>
    <xf numFmtId="0" fontId="10" fillId="9" borderId="0" xfId="0" applyFont="1" applyFill="1" applyAlignment="1">
      <alignment horizontal="center"/>
    </xf>
    <xf numFmtId="0" fontId="10" fillId="9" borderId="5" xfId="0" applyFont="1" applyFill="1" applyBorder="1" applyAlignment="1">
      <alignment horizontal="center"/>
    </xf>
    <xf numFmtId="0" fontId="10" fillId="9" borderId="0" xfId="0" applyFont="1" applyFill="1" applyBorder="1" applyAlignment="1">
      <alignment horizontal="center"/>
    </xf>
    <xf numFmtId="2" fontId="13" fillId="0" borderId="0" xfId="0" applyNumberFormat="1" applyFont="1" applyFill="1" applyBorder="1" applyAlignment="1">
      <alignment horizontal="center"/>
    </xf>
    <xf numFmtId="171" fontId="12"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0" fontId="67" fillId="10" borderId="0" xfId="0" applyNumberFormat="1" applyFont="1" applyFill="1" applyBorder="1" applyAlignment="1" applyProtection="1"/>
    <xf numFmtId="168" fontId="13" fillId="0" borderId="4" xfId="0" applyNumberFormat="1" applyFont="1" applyFill="1" applyBorder="1" applyAlignment="1">
      <alignment horizontal="center"/>
    </xf>
    <xf numFmtId="2" fontId="13" fillId="0" borderId="4" xfId="0" applyNumberFormat="1" applyFont="1" applyFill="1" applyBorder="1" applyAlignment="1">
      <alignment horizontal="center"/>
    </xf>
    <xf numFmtId="168" fontId="21" fillId="3" borderId="4" xfId="0" applyNumberFormat="1" applyFont="1" applyFill="1" applyBorder="1" applyAlignment="1">
      <alignment horizontal="center"/>
    </xf>
    <xf numFmtId="168" fontId="0" fillId="0" borderId="4" xfId="0" applyNumberFormat="1" applyBorder="1" applyAlignment="1">
      <alignment horizontal="center"/>
    </xf>
    <xf numFmtId="9" fontId="12" fillId="0" borderId="5" xfId="2" applyFont="1" applyBorder="1" applyAlignment="1">
      <alignment horizontal="center"/>
    </xf>
    <xf numFmtId="9" fontId="13" fillId="0" borderId="5" xfId="2" applyFont="1" applyBorder="1" applyAlignment="1">
      <alignment horizontal="center"/>
    </xf>
    <xf numFmtId="2" fontId="0" fillId="0" borderId="4" xfId="0" applyNumberFormat="1" applyFill="1" applyBorder="1" applyAlignment="1">
      <alignment horizontal="center"/>
    </xf>
    <xf numFmtId="3" fontId="0" fillId="0" borderId="4" xfId="0" applyNumberFormat="1" applyFill="1" applyBorder="1" applyAlignment="1">
      <alignment horizontal="center"/>
    </xf>
    <xf numFmtId="4" fontId="0" fillId="0" borderId="0" xfId="0" applyNumberFormat="1"/>
    <xf numFmtId="0" fontId="34" fillId="9" borderId="0" xfId="0" applyFont="1" applyFill="1" applyAlignment="1">
      <alignment horizontal="left" vertical="center"/>
    </xf>
    <xf numFmtId="0" fontId="23" fillId="11" borderId="0" xfId="0" applyFont="1" applyFill="1"/>
    <xf numFmtId="0" fontId="7" fillId="9" borderId="0" xfId="0" applyFont="1" applyFill="1" applyAlignment="1">
      <alignment horizontal="left"/>
    </xf>
    <xf numFmtId="214" fontId="5" fillId="9" borderId="0" xfId="0" applyNumberFormat="1" applyFont="1" applyFill="1" applyAlignment="1">
      <alignment horizontal="left"/>
    </xf>
    <xf numFmtId="0" fontId="17" fillId="9" borderId="0" xfId="0" applyFont="1" applyFill="1" applyAlignment="1">
      <alignment horizontal="left"/>
    </xf>
    <xf numFmtId="0" fontId="56" fillId="0" borderId="0" xfId="0" applyFont="1" applyFill="1"/>
    <xf numFmtId="0" fontId="70" fillId="0" borderId="0" xfId="0" applyFont="1" applyFill="1"/>
    <xf numFmtId="168" fontId="56" fillId="0" borderId="0" xfId="0" applyNumberFormat="1" applyFont="1" applyFill="1" applyAlignment="1">
      <alignment horizontal="center"/>
    </xf>
    <xf numFmtId="0" fontId="56" fillId="11" borderId="0" xfId="0" applyFont="1" applyFill="1"/>
    <xf numFmtId="0" fontId="18" fillId="11" borderId="0" xfId="0" applyFont="1" applyFill="1"/>
    <xf numFmtId="168" fontId="23" fillId="11" borderId="0" xfId="0" applyNumberFormat="1" applyFont="1" applyFill="1" applyAlignment="1">
      <alignment horizontal="center"/>
    </xf>
    <xf numFmtId="0" fontId="70" fillId="11" borderId="0" xfId="0" applyFont="1" applyFill="1"/>
    <xf numFmtId="0" fontId="56" fillId="7" borderId="0" xfId="0" applyFont="1" applyFill="1"/>
    <xf numFmtId="168" fontId="23" fillId="7" borderId="0" xfId="0" applyNumberFormat="1" applyFont="1" applyFill="1" applyAlignment="1">
      <alignment horizontal="center"/>
    </xf>
    <xf numFmtId="167" fontId="23" fillId="7" borderId="0" xfId="0" applyNumberFormat="1" applyFont="1" applyFill="1" applyAlignment="1">
      <alignment horizontal="center"/>
    </xf>
    <xf numFmtId="166" fontId="71" fillId="0" borderId="0" xfId="0" applyNumberFormat="1" applyFont="1" applyFill="1"/>
    <xf numFmtId="0" fontId="70" fillId="9" borderId="0" xfId="0" applyFont="1" applyFill="1"/>
    <xf numFmtId="0" fontId="72" fillId="9" borderId="0" xfId="0" applyFont="1" applyFill="1"/>
    <xf numFmtId="214" fontId="70" fillId="9" borderId="0" xfId="0" applyNumberFormat="1" applyFont="1" applyFill="1" applyAlignment="1">
      <alignment horizontal="left"/>
    </xf>
    <xf numFmtId="197" fontId="70" fillId="9" borderId="0" xfId="0" applyNumberFormat="1" applyFont="1" applyFill="1" applyBorder="1" applyAlignment="1">
      <alignment horizontal="left" vertical="center"/>
    </xf>
    <xf numFmtId="0" fontId="70" fillId="9" borderId="0" xfId="0" applyFont="1" applyFill="1" applyBorder="1" applyAlignment="1">
      <alignment horizontal="right" vertical="center"/>
    </xf>
    <xf numFmtId="0" fontId="72" fillId="9" borderId="0" xfId="0" applyFont="1" applyFill="1" applyAlignment="1">
      <alignment vertical="center"/>
    </xf>
    <xf numFmtId="0" fontId="70" fillId="9" borderId="0" xfId="0" applyFont="1" applyFill="1" applyAlignment="1">
      <alignment horizontal="center"/>
    </xf>
    <xf numFmtId="49" fontId="31" fillId="0" borderId="0" xfId="0" applyNumberFormat="1" applyFont="1" applyFill="1" applyAlignment="1">
      <alignment vertical="center" wrapText="1"/>
    </xf>
    <xf numFmtId="0" fontId="5" fillId="0" borderId="0" xfId="0" applyFont="1" applyFill="1" applyAlignment="1">
      <alignment vertical="center"/>
    </xf>
    <xf numFmtId="0" fontId="7" fillId="9" borderId="0" xfId="0" applyFont="1" applyFill="1" applyBorder="1"/>
    <xf numFmtId="0" fontId="26" fillId="7" borderId="0" xfId="0" applyFont="1" applyFill="1" applyBorder="1" applyAlignment="1">
      <alignment horizontal="center" vertical="center"/>
    </xf>
    <xf numFmtId="49" fontId="24" fillId="0" borderId="0" xfId="0" applyNumberFormat="1" applyFont="1" applyFill="1" applyBorder="1" applyAlignment="1">
      <alignment horizontal="center" vertical="center"/>
    </xf>
    <xf numFmtId="0" fontId="57" fillId="0" borderId="0" xfId="0" applyFont="1" applyAlignment="1">
      <alignment vertical="center"/>
    </xf>
    <xf numFmtId="49" fontId="24" fillId="0" borderId="0" xfId="0" applyNumberFormat="1" applyFont="1" applyBorder="1" applyAlignment="1">
      <alignment horizontal="center"/>
    </xf>
    <xf numFmtId="0" fontId="20" fillId="0" borderId="0" xfId="0" applyFont="1" applyFill="1" applyAlignment="1">
      <alignment horizontal="left" vertical="center"/>
    </xf>
    <xf numFmtId="0" fontId="8" fillId="0" borderId="0" xfId="0" applyFont="1" applyAlignment="1">
      <alignment vertical="center"/>
    </xf>
    <xf numFmtId="0" fontId="24" fillId="0" borderId="0" xfId="0" applyFont="1" applyFill="1" applyAlignment="1">
      <alignment horizontal="left" vertical="center" wrapText="1"/>
    </xf>
    <xf numFmtId="0" fontId="75" fillId="0" borderId="0" xfId="0" applyFont="1" applyFill="1" applyBorder="1" applyAlignment="1">
      <alignment horizontal="center" vertical="center" wrapText="1"/>
    </xf>
    <xf numFmtId="0" fontId="76" fillId="0" borderId="0" xfId="0" applyFont="1" applyFill="1" applyAlignment="1">
      <alignment horizontal="center" vertical="center" wrapText="1"/>
    </xf>
    <xf numFmtId="0" fontId="24" fillId="0" borderId="0" xfId="0" applyFont="1" applyFill="1" applyAlignment="1">
      <alignment horizontal="right" vertical="center"/>
    </xf>
    <xf numFmtId="2" fontId="5" fillId="0" borderId="0" xfId="0" applyNumberFormat="1" applyFont="1" applyFill="1" applyAlignment="1">
      <alignment vertical="center"/>
    </xf>
    <xf numFmtId="174" fontId="0" fillId="0" borderId="0" xfId="0" applyNumberFormat="1"/>
    <xf numFmtId="174" fontId="12" fillId="0" borderId="0" xfId="0" applyNumberFormat="1" applyFont="1" applyFill="1" applyAlignment="1">
      <alignment horizontal="center"/>
    </xf>
    <xf numFmtId="0" fontId="12" fillId="0" borderId="0" xfId="0" applyFont="1" applyFill="1" applyBorder="1" applyAlignment="1">
      <alignment horizontal="left"/>
    </xf>
    <xf numFmtId="0" fontId="5" fillId="11" borderId="0" xfId="0" applyFont="1" applyFill="1"/>
    <xf numFmtId="0" fontId="20" fillId="0" borderId="0" xfId="0" applyFont="1" applyFill="1" applyAlignment="1">
      <alignment horizontal="right" vertical="center"/>
    </xf>
    <xf numFmtId="173" fontId="3" fillId="0" borderId="0" xfId="2" applyNumberFormat="1" applyFont="1" applyFill="1" applyBorder="1" applyAlignment="1" applyProtection="1">
      <alignment horizontal="center" vertical="center"/>
    </xf>
    <xf numFmtId="0" fontId="3" fillId="0" borderId="0" xfId="0" applyFont="1" applyFill="1" applyAlignment="1">
      <alignment vertical="center"/>
    </xf>
    <xf numFmtId="0" fontId="24" fillId="8" borderId="0" xfId="0" applyFont="1" applyFill="1" applyAlignment="1">
      <alignment vertical="center" wrapText="1"/>
    </xf>
    <xf numFmtId="49" fontId="24" fillId="8" borderId="0" xfId="0" applyNumberFormat="1" applyFont="1" applyFill="1" applyAlignment="1">
      <alignment vertical="center" wrapText="1"/>
    </xf>
    <xf numFmtId="0" fontId="24" fillId="8" borderId="0" xfId="0" applyFont="1" applyFill="1" applyAlignment="1">
      <alignment vertical="center"/>
    </xf>
    <xf numFmtId="0" fontId="24" fillId="8" borderId="0" xfId="0" applyFont="1" applyFill="1" applyBorder="1" applyAlignment="1">
      <alignment vertical="center" wrapText="1"/>
    </xf>
    <xf numFmtId="49" fontId="24" fillId="8" borderId="0" xfId="0" applyNumberFormat="1" applyFont="1" applyFill="1" applyAlignment="1">
      <alignment horizontal="center" vertical="center" wrapText="1"/>
    </xf>
    <xf numFmtId="173" fontId="12" fillId="8" borderId="0" xfId="2" applyNumberFormat="1" applyFont="1" applyFill="1" applyAlignment="1">
      <alignment horizontal="center" vertical="center"/>
    </xf>
    <xf numFmtId="0" fontId="24" fillId="8" borderId="0" xfId="0" applyFont="1" applyFill="1" applyAlignment="1">
      <alignment horizontal="left" wrapText="1"/>
    </xf>
    <xf numFmtId="173" fontId="3" fillId="8" borderId="0" xfId="2" applyNumberFormat="1" applyFont="1" applyFill="1" applyAlignment="1">
      <alignment horizontal="center" vertical="center"/>
    </xf>
    <xf numFmtId="173" fontId="3" fillId="8" borderId="0" xfId="2" applyNumberFormat="1" applyFont="1" applyFill="1" applyBorder="1" applyAlignment="1" applyProtection="1">
      <alignment horizontal="center" vertical="center"/>
    </xf>
    <xf numFmtId="49" fontId="3" fillId="8" borderId="0" xfId="0" applyNumberFormat="1" applyFont="1" applyFill="1" applyBorder="1" applyAlignment="1">
      <alignment vertical="center" wrapText="1"/>
    </xf>
    <xf numFmtId="0" fontId="57" fillId="0" borderId="0" xfId="0" applyFont="1" applyBorder="1" applyAlignment="1">
      <alignment vertical="center"/>
    </xf>
    <xf numFmtId="0" fontId="3" fillId="0" borderId="0" xfId="0" applyFont="1" applyFill="1" applyBorder="1" applyAlignment="1">
      <alignment vertical="center"/>
    </xf>
    <xf numFmtId="0" fontId="12" fillId="8" borderId="9" xfId="0" applyFont="1" applyFill="1" applyBorder="1"/>
    <xf numFmtId="0" fontId="5" fillId="0" borderId="0" xfId="0" applyFont="1" applyBorder="1" applyAlignment="1">
      <alignment vertical="center" wrapText="1"/>
    </xf>
    <xf numFmtId="0" fontId="5" fillId="0" borderId="0" xfId="0" applyFont="1" applyBorder="1" applyAlignment="1">
      <alignment vertical="center"/>
    </xf>
    <xf numFmtId="192" fontId="13" fillId="3" borderId="4" xfId="0" applyNumberFormat="1" applyFont="1" applyFill="1" applyBorder="1" applyAlignment="1">
      <alignment horizontal="center"/>
    </xf>
    <xf numFmtId="168" fontId="13" fillId="0" borderId="1" xfId="0" applyNumberFormat="1" applyFont="1" applyBorder="1" applyAlignment="1">
      <alignment horizontal="center"/>
    </xf>
    <xf numFmtId="3" fontId="57" fillId="0" borderId="0" xfId="0" applyNumberFormat="1" applyFont="1" applyFill="1" applyAlignment="1">
      <alignment horizontal="left"/>
    </xf>
    <xf numFmtId="213" fontId="0" fillId="0" borderId="0" xfId="0" applyNumberFormat="1" applyFill="1" applyBorder="1" applyAlignment="1">
      <alignment horizontal="center"/>
    </xf>
    <xf numFmtId="2" fontId="0" fillId="0" borderId="0" xfId="0" applyNumberFormat="1" applyFill="1" applyAlignment="1">
      <alignment horizontal="center"/>
    </xf>
    <xf numFmtId="201" fontId="0" fillId="0" borderId="0" xfId="0" applyNumberFormat="1" applyFill="1" applyAlignment="1">
      <alignment horizontal="center"/>
    </xf>
    <xf numFmtId="197" fontId="0" fillId="0" borderId="0" xfId="0" applyNumberFormat="1" applyFill="1" applyAlignment="1">
      <alignment horizontal="center"/>
    </xf>
    <xf numFmtId="197" fontId="13" fillId="0" borderId="0" xfId="0" applyNumberFormat="1" applyFont="1" applyFill="1" applyBorder="1" applyAlignment="1">
      <alignment horizontal="left"/>
    </xf>
    <xf numFmtId="197" fontId="12" fillId="0" borderId="0" xfId="0" applyNumberFormat="1" applyFont="1" applyFill="1" applyBorder="1" applyAlignment="1">
      <alignment horizontal="left"/>
    </xf>
    <xf numFmtId="187" fontId="0" fillId="0" borderId="0" xfId="0" applyNumberFormat="1" applyFill="1" applyBorder="1" applyAlignment="1">
      <alignment horizontal="center"/>
    </xf>
    <xf numFmtId="166" fontId="12" fillId="0" borderId="0" xfId="0" applyNumberFormat="1" applyFont="1" applyFill="1" applyAlignment="1">
      <alignment horizontal="center"/>
    </xf>
    <xf numFmtId="166" fontId="0" fillId="0" borderId="4" xfId="0" applyNumberFormat="1" applyFill="1" applyBorder="1" applyAlignment="1">
      <alignment horizontal="center"/>
    </xf>
    <xf numFmtId="167" fontId="0" fillId="3" borderId="4" xfId="0" applyNumberFormat="1" applyFill="1" applyBorder="1" applyAlignment="1">
      <alignment horizontal="center"/>
    </xf>
    <xf numFmtId="205" fontId="0" fillId="0" borderId="0" xfId="0" applyNumberFormat="1" applyFill="1" applyAlignment="1">
      <alignment horizontal="center"/>
    </xf>
    <xf numFmtId="209" fontId="0" fillId="0" borderId="0" xfId="0" applyNumberFormat="1" applyFill="1" applyAlignment="1">
      <alignment horizontal="center"/>
    </xf>
    <xf numFmtId="210" fontId="0" fillId="0" borderId="0" xfId="0" applyNumberFormat="1" applyFill="1" applyAlignment="1">
      <alignment horizontal="center"/>
    </xf>
    <xf numFmtId="167" fontId="13" fillId="0" borderId="0" xfId="0" applyNumberFormat="1" applyFont="1" applyFill="1" applyBorder="1" applyAlignment="1">
      <alignment horizontal="center"/>
    </xf>
    <xf numFmtId="167" fontId="13" fillId="0" borderId="4" xfId="0" applyNumberFormat="1" applyFont="1" applyFill="1" applyBorder="1" applyAlignment="1">
      <alignment horizontal="center"/>
    </xf>
    <xf numFmtId="9" fontId="3" fillId="0" borderId="4" xfId="2" applyFont="1" applyFill="1" applyBorder="1" applyAlignment="1">
      <alignment horizontal="center"/>
    </xf>
    <xf numFmtId="0" fontId="1" fillId="0" borderId="0" xfId="0" applyFont="1" applyFill="1" applyAlignment="1">
      <alignment horizontal="right"/>
    </xf>
    <xf numFmtId="0" fontId="31" fillId="0" borderId="0" xfId="0" applyFont="1" applyFill="1"/>
    <xf numFmtId="0" fontId="31" fillId="0" borderId="0" xfId="0" applyFont="1" applyFill="1" applyAlignment="1">
      <alignment horizontal="right"/>
    </xf>
    <xf numFmtId="0" fontId="64" fillId="9" borderId="0" xfId="0" applyFont="1" applyFill="1"/>
    <xf numFmtId="192" fontId="13" fillId="0" borderId="0" xfId="2" applyNumberFormat="1" applyFont="1" applyFill="1" applyAlignment="1">
      <alignment horizontal="center"/>
    </xf>
    <xf numFmtId="9" fontId="3" fillId="0" borderId="0" xfId="2" applyBorder="1" applyAlignment="1">
      <alignment horizontal="center"/>
    </xf>
    <xf numFmtId="189" fontId="0" fillId="0" borderId="0" xfId="0" applyNumberFormat="1" applyFill="1" applyBorder="1"/>
    <xf numFmtId="4" fontId="0" fillId="0" borderId="0" xfId="0" applyNumberFormat="1" applyFill="1" applyBorder="1" applyAlignment="1">
      <alignment horizontal="center"/>
    </xf>
    <xf numFmtId="10" fontId="0" fillId="0" borderId="0" xfId="2" applyNumberFormat="1" applyFont="1" applyFill="1" applyBorder="1" applyAlignment="1">
      <alignment horizontal="center"/>
    </xf>
    <xf numFmtId="9" fontId="3" fillId="0" borderId="6" xfId="2" applyFont="1" applyFill="1" applyBorder="1" applyAlignment="1">
      <alignment horizontal="center"/>
    </xf>
    <xf numFmtId="0" fontId="13" fillId="0" borderId="4" xfId="0" applyFont="1" applyFill="1" applyBorder="1"/>
    <xf numFmtId="0" fontId="0" fillId="0" borderId="11" xfId="0" applyFill="1" applyBorder="1"/>
    <xf numFmtId="10" fontId="3" fillId="0" borderId="0" xfId="2" applyNumberFormat="1" applyFill="1" applyAlignment="1">
      <alignment horizontal="center"/>
    </xf>
    <xf numFmtId="0" fontId="57" fillId="3" borderId="0" xfId="0" applyFont="1" applyFill="1" applyBorder="1" applyAlignment="1">
      <alignment horizontal="left"/>
    </xf>
    <xf numFmtId="1" fontId="0" fillId="0" borderId="4" xfId="0" applyNumberFormat="1" applyFill="1" applyBorder="1" applyAlignment="1">
      <alignment horizontal="center"/>
    </xf>
    <xf numFmtId="167" fontId="0" fillId="0" borderId="4" xfId="0" applyNumberFormat="1" applyFill="1" applyBorder="1" applyAlignment="1">
      <alignment horizontal="center"/>
    </xf>
    <xf numFmtId="0" fontId="79" fillId="0" borderId="0" xfId="0" applyFont="1"/>
    <xf numFmtId="0" fontId="6" fillId="0" borderId="0" xfId="0" applyFont="1"/>
    <xf numFmtId="181" fontId="0" fillId="0" borderId="0" xfId="0" applyNumberFormat="1" applyFill="1"/>
    <xf numFmtId="0" fontId="12" fillId="0" borderId="0" xfId="0" applyFont="1" applyFill="1" applyAlignment="1"/>
    <xf numFmtId="168" fontId="81" fillId="0" borderId="0" xfId="0" applyNumberFormat="1" applyFont="1" applyFill="1" applyAlignment="1">
      <alignment horizontal="center"/>
    </xf>
    <xf numFmtId="196" fontId="24" fillId="0" borderId="0" xfId="0" applyNumberFormat="1" applyFont="1" applyFill="1" applyBorder="1" applyAlignment="1">
      <alignment horizontal="center"/>
    </xf>
    <xf numFmtId="221" fontId="24" fillId="0" borderId="0" xfId="0" applyNumberFormat="1" applyFont="1" applyFill="1" applyAlignment="1">
      <alignment horizontal="center"/>
    </xf>
    <xf numFmtId="217" fontId="24" fillId="0" borderId="0" xfId="0" applyNumberFormat="1" applyFont="1" applyFill="1" applyAlignment="1">
      <alignment horizontal="center"/>
    </xf>
    <xf numFmtId="173" fontId="24" fillId="0" borderId="0" xfId="2" applyNumberFormat="1" applyFont="1" applyFill="1" applyAlignment="1">
      <alignment horizontal="center"/>
    </xf>
    <xf numFmtId="9" fontId="8" fillId="0" borderId="0" xfId="2" applyFont="1" applyBorder="1" applyAlignment="1">
      <alignment horizontal="center"/>
    </xf>
    <xf numFmtId="3" fontId="22" fillId="0" borderId="0" xfId="0" applyNumberFormat="1" applyFont="1" applyFill="1" applyBorder="1"/>
    <xf numFmtId="3" fontId="20" fillId="0" borderId="0" xfId="0" applyNumberFormat="1" applyFont="1" applyFill="1" applyBorder="1"/>
    <xf numFmtId="0" fontId="20" fillId="0" borderId="0" xfId="0" applyFont="1" applyBorder="1"/>
    <xf numFmtId="0" fontId="14" fillId="0" borderId="0" xfId="0" applyFont="1" applyBorder="1"/>
    <xf numFmtId="168" fontId="0" fillId="0" borderId="0" xfId="0" applyNumberFormat="1" applyBorder="1"/>
    <xf numFmtId="2" fontId="0" fillId="0" borderId="0" xfId="0" applyNumberFormat="1" applyBorder="1"/>
    <xf numFmtId="0" fontId="3" fillId="2" borderId="0" xfId="0" applyFont="1" applyFill="1" applyBorder="1" applyAlignment="1">
      <alignment horizontal="center"/>
    </xf>
    <xf numFmtId="9" fontId="12" fillId="0" borderId="0" xfId="2" applyFont="1" applyBorder="1" applyAlignment="1">
      <alignment horizontal="center"/>
    </xf>
    <xf numFmtId="0" fontId="20" fillId="0" borderId="0" xfId="0" applyFont="1" applyFill="1" applyBorder="1"/>
    <xf numFmtId="9" fontId="14" fillId="10" borderId="0" xfId="2" applyFont="1" applyFill="1" applyBorder="1" applyAlignment="1">
      <alignment horizontal="center"/>
    </xf>
    <xf numFmtId="9" fontId="13" fillId="0" borderId="0" xfId="2" applyFont="1" applyBorder="1" applyAlignment="1">
      <alignment horizontal="center"/>
    </xf>
    <xf numFmtId="0" fontId="33" fillId="7" borderId="0" xfId="0" applyFont="1" applyFill="1" applyBorder="1" applyAlignment="1">
      <alignment horizontal="center"/>
    </xf>
    <xf numFmtId="0" fontId="50" fillId="0" borderId="0" xfId="0" applyFont="1" applyBorder="1" applyAlignment="1">
      <alignment horizontal="left"/>
    </xf>
    <xf numFmtId="195" fontId="23" fillId="10" borderId="18" xfId="0" applyNumberFormat="1" applyFont="1" applyFill="1" applyBorder="1" applyAlignment="1">
      <alignment horizontal="center"/>
    </xf>
    <xf numFmtId="168" fontId="23" fillId="10" borderId="27" xfId="0" applyNumberFormat="1" applyFont="1" applyFill="1" applyBorder="1" applyAlignment="1">
      <alignment horizontal="center"/>
    </xf>
    <xf numFmtId="9" fontId="12" fillId="0" borderId="5" xfId="2" applyFont="1" applyFill="1" applyBorder="1" applyAlignment="1">
      <alignment horizontal="center"/>
    </xf>
    <xf numFmtId="0" fontId="33" fillId="7" borderId="0" xfId="0" applyFont="1" applyFill="1"/>
    <xf numFmtId="0" fontId="19" fillId="7" borderId="0" xfId="0" applyFont="1" applyFill="1"/>
    <xf numFmtId="0" fontId="58" fillId="7" borderId="0" xfId="0" applyFont="1" applyFill="1"/>
    <xf numFmtId="168" fontId="33" fillId="7" borderId="0" xfId="0" applyNumberFormat="1" applyFont="1" applyFill="1" applyAlignment="1">
      <alignment horizontal="center"/>
    </xf>
    <xf numFmtId="0" fontId="73" fillId="0" borderId="0" xfId="0" applyFont="1" applyBorder="1" applyAlignment="1">
      <alignment horizontal="center"/>
    </xf>
    <xf numFmtId="168" fontId="73" fillId="0" borderId="0" xfId="0" applyNumberFormat="1" applyFont="1" applyFill="1" applyBorder="1" applyAlignment="1">
      <alignment horizontal="center"/>
    </xf>
    <xf numFmtId="9" fontId="73" fillId="0" borderId="0" xfId="2" applyFont="1" applyFill="1" applyBorder="1" applyAlignment="1">
      <alignment horizontal="center"/>
    </xf>
    <xf numFmtId="168" fontId="73" fillId="0" borderId="5" xfId="0" applyNumberFormat="1" applyFont="1" applyFill="1" applyBorder="1" applyAlignment="1">
      <alignment horizontal="center"/>
    </xf>
    <xf numFmtId="170" fontId="73" fillId="0" borderId="0" xfId="0" applyNumberFormat="1" applyFont="1" applyFill="1" applyBorder="1" applyAlignment="1">
      <alignment horizontal="center"/>
    </xf>
    <xf numFmtId="171" fontId="73" fillId="0" borderId="0" xfId="0" applyNumberFormat="1" applyFont="1" applyFill="1" applyBorder="1" applyAlignment="1">
      <alignment horizontal="center"/>
    </xf>
    <xf numFmtId="164" fontId="73" fillId="0" borderId="5" xfId="0" applyNumberFormat="1" applyFont="1" applyFill="1" applyBorder="1" applyAlignment="1">
      <alignment horizontal="center"/>
    </xf>
    <xf numFmtId="0" fontId="73" fillId="0" borderId="1" xfId="0" applyFont="1" applyBorder="1" applyAlignment="1">
      <alignment horizontal="center"/>
    </xf>
    <xf numFmtId="168" fontId="73" fillId="0" borderId="1" xfId="0" applyNumberFormat="1" applyFont="1" applyFill="1" applyBorder="1" applyAlignment="1">
      <alignment horizontal="center"/>
    </xf>
    <xf numFmtId="9" fontId="73" fillId="0" borderId="1" xfId="2" applyFont="1" applyFill="1" applyBorder="1" applyAlignment="1">
      <alignment horizontal="center"/>
    </xf>
    <xf numFmtId="171" fontId="73" fillId="0" borderId="1" xfId="0" applyNumberFormat="1" applyFont="1" applyFill="1" applyBorder="1" applyAlignment="1">
      <alignment horizontal="center"/>
    </xf>
    <xf numFmtId="168" fontId="73" fillId="0" borderId="22" xfId="0" applyNumberFormat="1" applyFont="1" applyFill="1" applyBorder="1" applyAlignment="1">
      <alignment horizontal="center"/>
    </xf>
    <xf numFmtId="0" fontId="73" fillId="0" borderId="28" xfId="0" applyFont="1" applyBorder="1" applyAlignment="1">
      <alignment horizontal="center"/>
    </xf>
    <xf numFmtId="0" fontId="73" fillId="0" borderId="25" xfId="0" applyFont="1" applyBorder="1" applyAlignment="1">
      <alignment horizontal="center"/>
    </xf>
    <xf numFmtId="0" fontId="57" fillId="0" borderId="28" xfId="0" applyFont="1" applyBorder="1" applyAlignment="1">
      <alignment horizontal="center"/>
    </xf>
    <xf numFmtId="0" fontId="57" fillId="0" borderId="0" xfId="0" applyFont="1" applyBorder="1" applyAlignment="1">
      <alignment horizontal="center"/>
    </xf>
    <xf numFmtId="168" fontId="57" fillId="0" borderId="0" xfId="0" applyNumberFormat="1" applyFont="1" applyFill="1" applyBorder="1" applyAlignment="1">
      <alignment horizontal="center"/>
    </xf>
    <xf numFmtId="9" fontId="57" fillId="0" borderId="0" xfId="2" applyFont="1" applyFill="1" applyBorder="1" applyAlignment="1">
      <alignment horizontal="center"/>
    </xf>
    <xf numFmtId="170" fontId="57" fillId="0" borderId="0" xfId="0" applyNumberFormat="1" applyFont="1" applyFill="1" applyBorder="1" applyAlignment="1">
      <alignment horizontal="center"/>
    </xf>
    <xf numFmtId="171" fontId="57" fillId="0" borderId="0" xfId="0" applyNumberFormat="1" applyFont="1" applyFill="1" applyBorder="1" applyAlignment="1">
      <alignment horizontal="center"/>
    </xf>
    <xf numFmtId="164" fontId="57" fillId="0" borderId="5" xfId="0" applyNumberFormat="1" applyFont="1" applyFill="1" applyBorder="1" applyAlignment="1">
      <alignment horizontal="center"/>
    </xf>
    <xf numFmtId="167" fontId="13" fillId="0" borderId="0" xfId="0" applyNumberFormat="1" applyFont="1" applyFill="1"/>
    <xf numFmtId="168" fontId="24" fillId="6" borderId="28" xfId="0" applyNumberFormat="1" applyFont="1" applyFill="1" applyBorder="1" applyAlignment="1">
      <alignment horizontal="center"/>
    </xf>
    <xf numFmtId="168" fontId="24" fillId="6" borderId="25" xfId="0" applyNumberFormat="1" applyFont="1" applyFill="1" applyBorder="1" applyAlignment="1">
      <alignment horizontal="center"/>
    </xf>
    <xf numFmtId="167" fontId="13" fillId="0" borderId="0" xfId="0" applyNumberFormat="1" applyFont="1" applyFill="1" applyAlignment="1">
      <alignment horizontal="left"/>
    </xf>
    <xf numFmtId="167" fontId="13" fillId="0" borderId="0" xfId="0" applyNumberFormat="1" applyFont="1"/>
    <xf numFmtId="0" fontId="5" fillId="6" borderId="20" xfId="0" applyFont="1" applyFill="1" applyBorder="1" applyAlignment="1">
      <alignment horizontal="center" wrapText="1"/>
    </xf>
    <xf numFmtId="0" fontId="33" fillId="11" borderId="0" xfId="0" applyFont="1" applyFill="1"/>
    <xf numFmtId="168" fontId="33" fillId="11" borderId="0" xfId="0" applyNumberFormat="1" applyFont="1" applyFill="1" applyAlignment="1">
      <alignment horizontal="center"/>
    </xf>
    <xf numFmtId="180" fontId="12" fillId="0" borderId="0" xfId="0" applyNumberFormat="1" applyFont="1" applyFill="1" applyAlignment="1">
      <alignment horizontal="center"/>
    </xf>
    <xf numFmtId="187" fontId="57" fillId="3" borderId="0" xfId="0" applyNumberFormat="1" applyFont="1" applyFill="1" applyAlignment="1">
      <alignment horizontal="center"/>
    </xf>
    <xf numFmtId="165" fontId="57" fillId="0" borderId="0" xfId="0" applyNumberFormat="1" applyFont="1" applyFill="1" applyAlignment="1">
      <alignment horizontal="center"/>
    </xf>
    <xf numFmtId="9" fontId="57" fillId="0" borderId="0" xfId="2" applyFont="1" applyFill="1" applyAlignment="1">
      <alignment horizontal="center"/>
    </xf>
    <xf numFmtId="181" fontId="57" fillId="0" borderId="0" xfId="0" applyNumberFormat="1" applyFont="1" applyFill="1" applyBorder="1" applyAlignment="1">
      <alignment horizontal="center"/>
    </xf>
    <xf numFmtId="181" fontId="57" fillId="0" borderId="4" xfId="0" applyNumberFormat="1" applyFont="1" applyFill="1" applyBorder="1" applyAlignment="1">
      <alignment horizontal="center"/>
    </xf>
    <xf numFmtId="173" fontId="57" fillId="0" borderId="0" xfId="2" applyNumberFormat="1" applyFont="1" applyFill="1" applyBorder="1" applyAlignment="1">
      <alignment horizontal="center"/>
    </xf>
    <xf numFmtId="0" fontId="25" fillId="0" borderId="0" xfId="0" applyFont="1" applyFill="1"/>
    <xf numFmtId="49" fontId="12" fillId="0" borderId="0" xfId="0" applyNumberFormat="1" applyFont="1" applyAlignment="1">
      <alignment vertical="top" wrapText="1"/>
    </xf>
    <xf numFmtId="49" fontId="0" fillId="0" borderId="0" xfId="0" applyNumberFormat="1" applyAlignment="1">
      <alignment vertical="top" wrapText="1"/>
    </xf>
    <xf numFmtId="0" fontId="13" fillId="10" borderId="0" xfId="0" applyFont="1" applyFill="1" applyAlignment="1">
      <alignment horizontal="left"/>
    </xf>
    <xf numFmtId="0" fontId="0" fillId="9" borderId="15" xfId="0" applyFill="1" applyBorder="1"/>
    <xf numFmtId="0" fontId="13" fillId="9" borderId="15" xfId="0" applyFont="1" applyFill="1" applyBorder="1"/>
    <xf numFmtId="0" fontId="0" fillId="9" borderId="23" xfId="0" applyFill="1" applyBorder="1"/>
    <xf numFmtId="0" fontId="0" fillId="9" borderId="1" xfId="0" applyFill="1" applyBorder="1"/>
    <xf numFmtId="0" fontId="12" fillId="9" borderId="1" xfId="0" applyFont="1" applyFill="1" applyBorder="1" applyAlignment="1">
      <alignment horizontal="center"/>
    </xf>
    <xf numFmtId="0" fontId="12" fillId="9" borderId="1" xfId="0" applyFont="1" applyFill="1" applyBorder="1"/>
    <xf numFmtId="0" fontId="12" fillId="9" borderId="22" xfId="0" applyFont="1" applyFill="1" applyBorder="1" applyAlignment="1">
      <alignment horizontal="center"/>
    </xf>
    <xf numFmtId="0" fontId="0" fillId="9" borderId="29" xfId="0" applyFill="1" applyBorder="1"/>
    <xf numFmtId="0" fontId="24" fillId="9" borderId="1" xfId="0" applyFont="1" applyFill="1" applyBorder="1" applyAlignment="1">
      <alignment horizontal="center"/>
    </xf>
    <xf numFmtId="0" fontId="24" fillId="9" borderId="22" xfId="0" applyFont="1" applyFill="1" applyBorder="1" applyAlignment="1">
      <alignment horizontal="center"/>
    </xf>
    <xf numFmtId="0" fontId="0" fillId="9" borderId="14" xfId="0" applyFill="1" applyBorder="1" applyAlignment="1">
      <alignment horizontal="center"/>
    </xf>
    <xf numFmtId="0" fontId="0" fillId="9" borderId="22" xfId="0" applyFill="1" applyBorder="1"/>
    <xf numFmtId="0" fontId="24" fillId="6" borderId="25" xfId="0" applyFont="1" applyFill="1" applyBorder="1" applyAlignment="1">
      <alignment horizontal="center"/>
    </xf>
    <xf numFmtId="0" fontId="5" fillId="6" borderId="23" xfId="0" applyFont="1" applyFill="1" applyBorder="1" applyAlignment="1">
      <alignment horizontal="center" wrapText="1"/>
    </xf>
    <xf numFmtId="0" fontId="12" fillId="6" borderId="22" xfId="0" applyFont="1" applyFill="1" applyBorder="1" applyAlignment="1">
      <alignment horizontal="center"/>
    </xf>
    <xf numFmtId="0" fontId="0" fillId="9" borderId="29" xfId="0" applyFill="1" applyBorder="1" applyAlignment="1">
      <alignment horizontal="center"/>
    </xf>
    <xf numFmtId="192" fontId="12" fillId="0" borderId="0" xfId="0" applyNumberFormat="1" applyFont="1" applyFill="1" applyAlignment="1">
      <alignment horizontal="center"/>
    </xf>
    <xf numFmtId="209" fontId="13" fillId="3" borderId="0" xfId="0" applyNumberFormat="1" applyFont="1" applyFill="1" applyBorder="1" applyAlignment="1">
      <alignment horizontal="center"/>
    </xf>
    <xf numFmtId="9" fontId="0" fillId="2" borderId="0" xfId="2" applyFont="1" applyFill="1" applyBorder="1" applyAlignment="1">
      <alignment horizontal="center"/>
    </xf>
    <xf numFmtId="209" fontId="13" fillId="10" borderId="0" xfId="0" applyNumberFormat="1" applyFont="1" applyFill="1" applyAlignment="1">
      <alignment horizontal="center"/>
    </xf>
    <xf numFmtId="181" fontId="0" fillId="10" borderId="0" xfId="0" applyNumberFormat="1" applyFill="1"/>
    <xf numFmtId="9" fontId="12" fillId="10" borderId="0" xfId="2" applyFont="1" applyFill="1" applyAlignment="1">
      <alignment horizontal="center"/>
    </xf>
    <xf numFmtId="192" fontId="23" fillId="10" borderId="0" xfId="0" applyNumberFormat="1" applyFont="1" applyFill="1" applyAlignment="1">
      <alignment horizontal="center"/>
    </xf>
    <xf numFmtId="192" fontId="23" fillId="0" borderId="0" xfId="0" applyNumberFormat="1" applyFont="1" applyFill="1" applyAlignment="1">
      <alignment horizontal="center"/>
    </xf>
    <xf numFmtId="209" fontId="13" fillId="0" borderId="4" xfId="0" applyNumberFormat="1" applyFont="1" applyFill="1" applyBorder="1" applyAlignment="1">
      <alignment horizontal="center"/>
    </xf>
    <xf numFmtId="0" fontId="64" fillId="0" borderId="0" xfId="0" applyFont="1"/>
    <xf numFmtId="0" fontId="3" fillId="0" borderId="0" xfId="0" applyFont="1" applyFill="1" applyBorder="1" applyAlignment="1">
      <alignment horizontal="right"/>
    </xf>
    <xf numFmtId="213" fontId="0" fillId="0" borderId="0" xfId="0" applyNumberFormat="1" applyFill="1" applyAlignment="1">
      <alignment horizontal="center"/>
    </xf>
    <xf numFmtId="1" fontId="0" fillId="0" borderId="1" xfId="0" applyNumberFormat="1" applyFill="1" applyBorder="1" applyAlignment="1">
      <alignment horizontal="center"/>
    </xf>
    <xf numFmtId="209" fontId="0" fillId="3" borderId="0" xfId="0" applyNumberFormat="1" applyFill="1" applyBorder="1" applyAlignment="1">
      <alignment horizontal="center"/>
    </xf>
    <xf numFmtId="209" fontId="0" fillId="0" borderId="4" xfId="0" applyNumberFormat="1" applyFill="1" applyBorder="1" applyAlignment="1">
      <alignment horizontal="center"/>
    </xf>
    <xf numFmtId="191" fontId="70" fillId="9" borderId="0" xfId="0" applyNumberFormat="1" applyFont="1" applyFill="1" applyBorder="1" applyAlignment="1">
      <alignment horizontal="left" vertical="center"/>
    </xf>
    <xf numFmtId="168" fontId="3" fillId="0" borderId="4" xfId="0" applyNumberFormat="1" applyFont="1" applyFill="1" applyBorder="1" applyAlignment="1">
      <alignment horizontal="center"/>
    </xf>
    <xf numFmtId="9" fontId="12" fillId="0" borderId="0" xfId="2" applyFont="1" applyFill="1" applyBorder="1" applyAlignment="1">
      <alignment horizontal="center"/>
    </xf>
    <xf numFmtId="168" fontId="1" fillId="0" borderId="4" xfId="0" applyNumberFormat="1" applyFont="1" applyFill="1" applyBorder="1" applyAlignment="1">
      <alignment horizontal="center"/>
    </xf>
    <xf numFmtId="168" fontId="74" fillId="6" borderId="28" xfId="0" applyNumberFormat="1" applyFont="1" applyFill="1" applyBorder="1" applyAlignment="1">
      <alignment horizontal="center"/>
    </xf>
    <xf numFmtId="168" fontId="74" fillId="6" borderId="25" xfId="0" applyNumberFormat="1" applyFont="1" applyFill="1" applyBorder="1" applyAlignment="1">
      <alignment horizontal="center"/>
    </xf>
    <xf numFmtId="0" fontId="3" fillId="0" borderId="0" xfId="0" applyFont="1" applyFill="1" applyAlignment="1">
      <alignment horizontal="center"/>
    </xf>
    <xf numFmtId="0" fontId="13" fillId="0" borderId="0" xfId="0" applyFont="1" applyFill="1" applyBorder="1" applyAlignment="1">
      <alignment horizontal="center"/>
    </xf>
    <xf numFmtId="0" fontId="85" fillId="0" borderId="0" xfId="0" applyFont="1"/>
    <xf numFmtId="0" fontId="3" fillId="0" borderId="0" xfId="0" applyFont="1" applyBorder="1"/>
    <xf numFmtId="0" fontId="3" fillId="10" borderId="0" xfId="0" applyFont="1" applyFill="1" applyBorder="1"/>
    <xf numFmtId="179" fontId="12" fillId="0" borderId="31" xfId="0" applyNumberFormat="1" applyFont="1" applyFill="1" applyBorder="1" applyAlignment="1">
      <alignment horizontal="center" vertical="center"/>
    </xf>
    <xf numFmtId="4" fontId="12" fillId="0" borderId="32" xfId="0" applyNumberFormat="1" applyFont="1" applyFill="1" applyBorder="1" applyAlignment="1">
      <alignment horizontal="center"/>
    </xf>
    <xf numFmtId="4" fontId="12" fillId="0" borderId="33" xfId="0" applyNumberFormat="1" applyFont="1" applyFill="1" applyBorder="1" applyAlignment="1">
      <alignment horizontal="center"/>
    </xf>
    <xf numFmtId="2" fontId="12" fillId="0" borderId="33" xfId="0" applyNumberFormat="1" applyFont="1" applyFill="1" applyBorder="1" applyAlignment="1">
      <alignment horizontal="center"/>
    </xf>
    <xf numFmtId="49" fontId="26" fillId="13" borderId="0" xfId="0" applyNumberFormat="1" applyFont="1" applyFill="1" applyBorder="1" applyAlignment="1">
      <alignment horizontal="center" vertical="center"/>
    </xf>
    <xf numFmtId="0" fontId="4" fillId="14" borderId="0" xfId="0" applyFont="1" applyFill="1"/>
    <xf numFmtId="0" fontId="15" fillId="14" borderId="0" xfId="0" applyFont="1" applyFill="1" applyBorder="1"/>
    <xf numFmtId="4" fontId="12" fillId="0" borderId="35" xfId="0" applyNumberFormat="1" applyFont="1" applyFill="1" applyBorder="1" applyAlignment="1">
      <alignment horizontal="center"/>
    </xf>
    <xf numFmtId="4" fontId="12" fillId="0" borderId="34" xfId="0" applyNumberFormat="1" applyFont="1" applyFill="1" applyBorder="1" applyAlignment="1">
      <alignment horizontal="center"/>
    </xf>
    <xf numFmtId="2" fontId="12" fillId="0" borderId="34" xfId="0" applyNumberFormat="1" applyFont="1" applyFill="1" applyBorder="1" applyAlignment="1">
      <alignment horizontal="center"/>
    </xf>
    <xf numFmtId="0" fontId="26" fillId="15" borderId="0" xfId="0" applyFont="1" applyFill="1" applyBorder="1" applyAlignment="1">
      <alignment horizontal="center" vertical="center"/>
    </xf>
    <xf numFmtId="168" fontId="12" fillId="8" borderId="36" xfId="0" applyNumberFormat="1" applyFont="1" applyFill="1" applyBorder="1" applyAlignment="1">
      <alignment horizontal="center" vertical="center"/>
    </xf>
    <xf numFmtId="168" fontId="12" fillId="0" borderId="31" xfId="0" applyNumberFormat="1" applyFont="1" applyFill="1" applyBorder="1" applyAlignment="1">
      <alignment horizontal="center" vertical="center"/>
    </xf>
    <xf numFmtId="218" fontId="12" fillId="8" borderId="31" xfId="0" applyNumberFormat="1" applyFont="1" applyFill="1" applyBorder="1" applyAlignment="1">
      <alignment horizontal="center" vertical="center"/>
    </xf>
    <xf numFmtId="182" fontId="12" fillId="8" borderId="31" xfId="0" applyNumberFormat="1" applyFont="1" applyFill="1" applyBorder="1" applyAlignment="1">
      <alignment horizontal="center" vertical="center"/>
    </xf>
    <xf numFmtId="182" fontId="20" fillId="0" borderId="31" xfId="0" applyNumberFormat="1" applyFont="1" applyFill="1" applyBorder="1" applyAlignment="1">
      <alignment horizontal="center" vertical="center"/>
    </xf>
    <xf numFmtId="196" fontId="12" fillId="8" borderId="36" xfId="0" applyNumberFormat="1" applyFont="1" applyFill="1" applyBorder="1" applyAlignment="1">
      <alignment horizontal="center" vertical="center"/>
    </xf>
    <xf numFmtId="192" fontId="12" fillId="8" borderId="31" xfId="0" applyNumberFormat="1" applyFont="1" applyFill="1" applyBorder="1" applyAlignment="1">
      <alignment horizontal="center" vertical="center"/>
    </xf>
    <xf numFmtId="9" fontId="12" fillId="8" borderId="31" xfId="2" applyFont="1" applyFill="1" applyBorder="1" applyAlignment="1">
      <alignment horizontal="center" vertical="center"/>
    </xf>
    <xf numFmtId="9" fontId="12" fillId="0" borderId="31" xfId="2" applyFont="1" applyFill="1" applyBorder="1" applyAlignment="1">
      <alignment horizontal="center" vertical="center"/>
    </xf>
    <xf numFmtId="173" fontId="12" fillId="8" borderId="31" xfId="2" applyNumberFormat="1" applyFont="1" applyFill="1" applyBorder="1" applyAlignment="1">
      <alignment horizontal="center" vertical="center"/>
    </xf>
    <xf numFmtId="192" fontId="12" fillId="8" borderId="37" xfId="0" applyNumberFormat="1" applyFont="1" applyFill="1" applyBorder="1" applyAlignment="1">
      <alignment horizontal="center" vertical="center"/>
    </xf>
    <xf numFmtId="219" fontId="12" fillId="8" borderId="31" xfId="0" applyNumberFormat="1" applyFont="1" applyFill="1" applyBorder="1" applyAlignment="1">
      <alignment horizontal="center" vertical="center"/>
    </xf>
    <xf numFmtId="194" fontId="12" fillId="0" borderId="31" xfId="0" applyNumberFormat="1" applyFont="1" applyFill="1" applyBorder="1" applyAlignment="1">
      <alignment horizontal="center" vertical="center"/>
    </xf>
    <xf numFmtId="0" fontId="3" fillId="0" borderId="31" xfId="0" applyFont="1" applyFill="1" applyBorder="1" applyAlignment="1">
      <alignment vertical="center"/>
    </xf>
    <xf numFmtId="0" fontId="3" fillId="0" borderId="31" xfId="0" applyFont="1" applyFill="1" applyBorder="1"/>
    <xf numFmtId="192" fontId="12" fillId="0" borderId="31" xfId="0" applyNumberFormat="1" applyFont="1" applyFill="1" applyBorder="1" applyAlignment="1">
      <alignment horizontal="center" vertical="center" wrapText="1"/>
    </xf>
    <xf numFmtId="168" fontId="12" fillId="0" borderId="31" xfId="2" applyNumberFormat="1" applyFont="1" applyBorder="1" applyAlignment="1">
      <alignment horizontal="center" vertical="center"/>
    </xf>
    <xf numFmtId="192" fontId="12" fillId="0" borderId="31" xfId="0" applyNumberFormat="1" applyFont="1" applyBorder="1" applyAlignment="1">
      <alignment horizontal="center" vertical="center"/>
    </xf>
    <xf numFmtId="1" fontId="12" fillId="0" borderId="31" xfId="0" applyNumberFormat="1" applyFont="1" applyBorder="1" applyAlignment="1">
      <alignment horizontal="center"/>
    </xf>
    <xf numFmtId="168" fontId="12" fillId="0" borderId="31" xfId="0" applyNumberFormat="1" applyFont="1" applyBorder="1" applyAlignment="1">
      <alignment horizontal="center" vertical="center"/>
    </xf>
    <xf numFmtId="192" fontId="12" fillId="0" borderId="33" xfId="0" applyNumberFormat="1" applyFont="1" applyBorder="1" applyAlignment="1">
      <alignment horizontal="center" vertical="center"/>
    </xf>
    <xf numFmtId="0" fontId="77" fillId="14" borderId="0" xfId="0" applyFont="1" applyFill="1"/>
    <xf numFmtId="0" fontId="13" fillId="14" borderId="0" xfId="0" applyFont="1" applyFill="1"/>
    <xf numFmtId="0" fontId="13" fillId="14" borderId="0" xfId="0" applyFont="1" applyFill="1" applyAlignment="1">
      <alignment horizontal="center"/>
    </xf>
    <xf numFmtId="0" fontId="0" fillId="14" borderId="0" xfId="0" applyFill="1" applyAlignment="1">
      <alignment horizontal="center"/>
    </xf>
    <xf numFmtId="0" fontId="12" fillId="14" borderId="0" xfId="0" applyFont="1" applyFill="1"/>
    <xf numFmtId="168" fontId="12" fillId="8" borderId="35" xfId="0" applyNumberFormat="1" applyFont="1" applyFill="1" applyBorder="1" applyAlignment="1">
      <alignment horizontal="center" vertical="center"/>
    </xf>
    <xf numFmtId="168" fontId="12" fillId="0" borderId="34" xfId="0" applyNumberFormat="1" applyFont="1" applyFill="1" applyBorder="1" applyAlignment="1">
      <alignment horizontal="center" vertical="center"/>
    </xf>
    <xf numFmtId="218" fontId="12" fillId="8" borderId="34" xfId="0" applyNumberFormat="1" applyFont="1" applyFill="1" applyBorder="1" applyAlignment="1">
      <alignment horizontal="center" vertical="center"/>
    </xf>
    <xf numFmtId="177" fontId="12" fillId="8" borderId="34" xfId="0" applyNumberFormat="1" applyFont="1" applyFill="1" applyBorder="1" applyAlignment="1">
      <alignment horizontal="center" vertical="center"/>
    </xf>
    <xf numFmtId="177" fontId="12" fillId="0" borderId="34" xfId="0" applyNumberFormat="1" applyFont="1" applyFill="1" applyBorder="1" applyAlignment="1">
      <alignment horizontal="center" vertical="center"/>
    </xf>
    <xf numFmtId="182" fontId="12" fillId="8" borderId="34" xfId="0" applyNumberFormat="1" applyFont="1" applyFill="1" applyBorder="1" applyAlignment="1">
      <alignment horizontal="center" vertical="center"/>
    </xf>
    <xf numFmtId="0" fontId="12" fillId="0" borderId="34" xfId="0" applyFont="1" applyFill="1" applyBorder="1" applyAlignment="1">
      <alignment vertical="center"/>
    </xf>
    <xf numFmtId="196" fontId="12" fillId="8" borderId="35" xfId="0" applyNumberFormat="1" applyFont="1" applyFill="1" applyBorder="1" applyAlignment="1">
      <alignment horizontal="center" vertical="center"/>
    </xf>
    <xf numFmtId="192" fontId="12" fillId="8" borderId="34" xfId="0" applyNumberFormat="1" applyFont="1" applyFill="1" applyBorder="1" applyAlignment="1">
      <alignment horizontal="center" vertical="center"/>
    </xf>
    <xf numFmtId="9" fontId="12" fillId="8" borderId="34" xfId="2" applyNumberFormat="1" applyFont="1" applyFill="1" applyBorder="1" applyAlignment="1">
      <alignment horizontal="center" vertical="center"/>
    </xf>
    <xf numFmtId="9" fontId="12" fillId="0" borderId="34" xfId="2" applyNumberFormat="1" applyFont="1" applyFill="1" applyBorder="1" applyAlignment="1">
      <alignment horizontal="center" vertical="center"/>
    </xf>
    <xf numFmtId="173" fontId="12" fillId="8" borderId="34" xfId="2" applyNumberFormat="1" applyFont="1" applyFill="1" applyBorder="1" applyAlignment="1">
      <alignment horizontal="center" vertical="center"/>
    </xf>
    <xf numFmtId="192" fontId="12" fillId="8" borderId="38" xfId="0" applyNumberFormat="1" applyFont="1" applyFill="1" applyBorder="1" applyAlignment="1">
      <alignment horizontal="center" vertical="center"/>
    </xf>
    <xf numFmtId="219" fontId="12" fillId="8" borderId="34" xfId="0" applyNumberFormat="1" applyFont="1" applyFill="1" applyBorder="1" applyAlignment="1">
      <alignment horizontal="center" vertical="center"/>
    </xf>
    <xf numFmtId="194" fontId="12" fillId="0" borderId="34" xfId="0" applyNumberFormat="1" applyFont="1" applyFill="1" applyBorder="1" applyAlignment="1">
      <alignment horizontal="center" vertical="center"/>
    </xf>
    <xf numFmtId="0" fontId="3" fillId="0" borderId="34" xfId="0" applyFont="1" applyFill="1" applyBorder="1" applyAlignment="1">
      <alignment vertical="center"/>
    </xf>
    <xf numFmtId="0" fontId="3" fillId="0" borderId="34" xfId="0" applyFont="1" applyFill="1" applyBorder="1"/>
    <xf numFmtId="192" fontId="12" fillId="0" borderId="34" xfId="0" applyNumberFormat="1" applyFont="1" applyFill="1" applyBorder="1" applyAlignment="1">
      <alignment horizontal="center" vertical="center" wrapText="1"/>
    </xf>
    <xf numFmtId="168" fontId="12" fillId="0" borderId="34" xfId="2" applyNumberFormat="1" applyFont="1" applyBorder="1" applyAlignment="1">
      <alignment horizontal="center" vertical="center"/>
    </xf>
    <xf numFmtId="192" fontId="12" fillId="0" borderId="34" xfId="0" applyNumberFormat="1" applyFont="1" applyBorder="1" applyAlignment="1">
      <alignment horizontal="center" vertical="center"/>
    </xf>
    <xf numFmtId="168" fontId="12" fillId="0" borderId="34" xfId="0" applyNumberFormat="1" applyFont="1" applyBorder="1" applyAlignment="1">
      <alignment horizontal="center" vertical="center"/>
    </xf>
    <xf numFmtId="0" fontId="57" fillId="14" borderId="0" xfId="0" applyFont="1" applyFill="1" applyAlignment="1">
      <alignment horizontal="left"/>
    </xf>
    <xf numFmtId="0" fontId="57" fillId="14" borderId="0" xfId="0" applyFont="1" applyFill="1"/>
    <xf numFmtId="0" fontId="59" fillId="14" borderId="0" xfId="0" applyFont="1" applyFill="1" applyAlignment="1">
      <alignment horizontal="left"/>
    </xf>
    <xf numFmtId="0" fontId="57" fillId="14" borderId="0" xfId="0" applyFont="1" applyFill="1" applyBorder="1" applyAlignment="1">
      <alignment horizontal="right"/>
    </xf>
    <xf numFmtId="0" fontId="57" fillId="14" borderId="0" xfId="0" applyFont="1" applyFill="1" applyBorder="1" applyAlignment="1">
      <alignment horizontal="center"/>
    </xf>
    <xf numFmtId="181" fontId="57" fillId="14" borderId="0" xfId="0" applyNumberFormat="1" applyFont="1" applyFill="1" applyAlignment="1">
      <alignment horizontal="center"/>
    </xf>
    <xf numFmtId="197" fontId="57" fillId="14" borderId="0" xfId="0" applyNumberFormat="1" applyFont="1" applyFill="1" applyAlignment="1">
      <alignment horizontal="center"/>
    </xf>
    <xf numFmtId="197" fontId="57" fillId="14" borderId="23" xfId="0" applyNumberFormat="1" applyFont="1" applyFill="1" applyBorder="1" applyAlignment="1">
      <alignment horizontal="center"/>
    </xf>
    <xf numFmtId="197" fontId="57" fillId="14" borderId="21" xfId="0" applyNumberFormat="1" applyFont="1" applyFill="1" applyBorder="1" applyAlignment="1">
      <alignment horizontal="center"/>
    </xf>
    <xf numFmtId="168" fontId="57" fillId="14" borderId="0" xfId="0" applyNumberFormat="1" applyFont="1" applyFill="1" applyBorder="1" applyAlignment="1">
      <alignment horizontal="center"/>
    </xf>
    <xf numFmtId="187" fontId="57" fillId="14" borderId="0" xfId="0" applyNumberFormat="1" applyFont="1" applyFill="1" applyAlignment="1">
      <alignment horizontal="center"/>
    </xf>
    <xf numFmtId="215" fontId="57" fillId="14" borderId="0" xfId="0" applyNumberFormat="1" applyFont="1" applyFill="1" applyAlignment="1">
      <alignment horizontal="center"/>
    </xf>
    <xf numFmtId="207" fontId="57" fillId="14" borderId="0" xfId="0" applyNumberFormat="1" applyFont="1" applyFill="1" applyAlignment="1">
      <alignment horizontal="center"/>
    </xf>
    <xf numFmtId="0" fontId="0" fillId="14" borderId="2" xfId="0" applyFill="1" applyBorder="1"/>
    <xf numFmtId="0" fontId="0" fillId="14" borderId="3" xfId="0" applyFill="1" applyBorder="1"/>
    <xf numFmtId="0" fontId="3" fillId="14" borderId="0" xfId="0" applyFont="1" applyFill="1" applyBorder="1" applyAlignment="1">
      <alignment horizontal="center"/>
    </xf>
    <xf numFmtId="0" fontId="3" fillId="14" borderId="5" xfId="0" applyFont="1" applyFill="1" applyBorder="1" applyAlignment="1">
      <alignment horizontal="center"/>
    </xf>
    <xf numFmtId="0" fontId="0" fillId="14" borderId="0" xfId="0" applyFill="1" applyBorder="1" applyAlignment="1">
      <alignment horizontal="center"/>
    </xf>
    <xf numFmtId="0" fontId="0" fillId="14" borderId="5" xfId="0" applyFill="1" applyBorder="1" applyAlignment="1">
      <alignment horizontal="center"/>
    </xf>
    <xf numFmtId="0" fontId="1" fillId="14" borderId="0" xfId="0" applyFont="1" applyFill="1" applyBorder="1" applyAlignment="1">
      <alignment horizontal="center"/>
    </xf>
    <xf numFmtId="0" fontId="1" fillId="14" borderId="6" xfId="0" applyFont="1" applyFill="1" applyBorder="1"/>
    <xf numFmtId="167" fontId="0" fillId="14" borderId="0" xfId="0" applyNumberFormat="1" applyFill="1" applyAlignment="1">
      <alignment horizontal="center"/>
    </xf>
    <xf numFmtId="170" fontId="0" fillId="14" borderId="0" xfId="0" applyNumberFormat="1" applyFill="1" applyAlignment="1">
      <alignment horizontal="center"/>
    </xf>
    <xf numFmtId="167" fontId="0" fillId="14" borderId="1" xfId="0" applyNumberFormat="1" applyFill="1" applyBorder="1" applyAlignment="1">
      <alignment horizontal="center"/>
    </xf>
    <xf numFmtId="166" fontId="0" fillId="14" borderId="0" xfId="0" applyNumberFormat="1" applyFill="1" applyAlignment="1">
      <alignment horizontal="center"/>
    </xf>
    <xf numFmtId="168" fontId="12" fillId="14" borderId="0" xfId="0" applyNumberFormat="1" applyFont="1" applyFill="1" applyBorder="1" applyAlignment="1">
      <alignment horizontal="center"/>
    </xf>
    <xf numFmtId="192" fontId="0" fillId="14" borderId="0" xfId="0" applyNumberFormat="1" applyFill="1" applyAlignment="1">
      <alignment horizontal="center"/>
    </xf>
    <xf numFmtId="209" fontId="0" fillId="14" borderId="0" xfId="0" applyNumberFormat="1" applyFill="1" applyAlignment="1">
      <alignment horizontal="center"/>
    </xf>
    <xf numFmtId="209" fontId="3" fillId="14" borderId="0" xfId="0" applyNumberFormat="1" applyFont="1" applyFill="1" applyAlignment="1">
      <alignment horizontal="center"/>
    </xf>
    <xf numFmtId="209" fontId="13" fillId="14" borderId="0" xfId="0" applyNumberFormat="1" applyFont="1" applyFill="1" applyAlignment="1">
      <alignment horizontal="center"/>
    </xf>
    <xf numFmtId="209" fontId="13" fillId="14" borderId="0" xfId="0" applyNumberFormat="1" applyFont="1" applyFill="1" applyBorder="1" applyAlignment="1">
      <alignment horizontal="center"/>
    </xf>
    <xf numFmtId="192" fontId="13" fillId="14" borderId="4" xfId="0" applyNumberFormat="1" applyFont="1" applyFill="1" applyBorder="1" applyAlignment="1">
      <alignment horizontal="center"/>
    </xf>
    <xf numFmtId="192" fontId="12" fillId="14" borderId="0" xfId="0" applyNumberFormat="1" applyFont="1" applyFill="1" applyAlignment="1">
      <alignment horizontal="center"/>
    </xf>
    <xf numFmtId="209" fontId="0" fillId="14" borderId="0" xfId="0" applyNumberFormat="1" applyFill="1" applyBorder="1" applyAlignment="1">
      <alignment horizontal="center"/>
    </xf>
    <xf numFmtId="209" fontId="13" fillId="14" borderId="1" xfId="0" applyNumberFormat="1" applyFont="1" applyFill="1" applyBorder="1" applyAlignment="1">
      <alignment horizontal="center"/>
    </xf>
    <xf numFmtId="1" fontId="12" fillId="14" borderId="0" xfId="0" applyNumberFormat="1" applyFont="1" applyFill="1" applyAlignment="1">
      <alignment horizontal="center"/>
    </xf>
    <xf numFmtId="3" fontId="12" fillId="14" borderId="0" xfId="0" applyNumberFormat="1" applyFont="1" applyFill="1" applyAlignment="1">
      <alignment horizontal="center"/>
    </xf>
    <xf numFmtId="0" fontId="12" fillId="14" borderId="0" xfId="0" applyFont="1" applyFill="1" applyAlignment="1">
      <alignment horizontal="center"/>
    </xf>
    <xf numFmtId="177" fontId="0" fillId="14" borderId="0" xfId="0" applyNumberFormat="1" applyFill="1" applyAlignment="1">
      <alignment horizontal="center"/>
    </xf>
    <xf numFmtId="179" fontId="3" fillId="14" borderId="0" xfId="0" applyNumberFormat="1" applyFont="1" applyFill="1" applyAlignment="1">
      <alignment horizontal="center"/>
    </xf>
    <xf numFmtId="0" fontId="3" fillId="14" borderId="0" xfId="0" applyFont="1" applyFill="1" applyAlignment="1">
      <alignment horizontal="center"/>
    </xf>
    <xf numFmtId="0" fontId="3" fillId="14" borderId="0" xfId="0" applyFont="1" applyFill="1"/>
    <xf numFmtId="202" fontId="38" fillId="14" borderId="0" xfId="0" applyNumberFormat="1" applyFont="1" applyFill="1" applyAlignment="1">
      <alignment horizontal="center"/>
    </xf>
    <xf numFmtId="203" fontId="0" fillId="14" borderId="0" xfId="0" applyNumberFormat="1" applyFill="1" applyAlignment="1">
      <alignment horizontal="center"/>
    </xf>
    <xf numFmtId="4" fontId="0" fillId="14" borderId="0" xfId="0" applyNumberFormat="1" applyFill="1" applyAlignment="1">
      <alignment horizontal="center"/>
    </xf>
    <xf numFmtId="206" fontId="0" fillId="14" borderId="0" xfId="0" applyNumberFormat="1" applyFill="1" applyAlignment="1">
      <alignment horizontal="center"/>
    </xf>
    <xf numFmtId="0" fontId="57" fillId="14" borderId="0" xfId="0" applyFont="1" applyFill="1" applyBorder="1" applyAlignment="1">
      <alignment horizontal="left"/>
    </xf>
    <xf numFmtId="167" fontId="12" fillId="0" borderId="31" xfId="0" applyNumberFormat="1" applyFont="1" applyFill="1" applyBorder="1" applyAlignment="1">
      <alignment horizontal="center" vertical="center"/>
    </xf>
    <xf numFmtId="0" fontId="4" fillId="16" borderId="0" xfId="0" applyFont="1" applyFill="1"/>
    <xf numFmtId="0" fontId="34" fillId="16" borderId="0" xfId="0" applyFont="1" applyFill="1" applyAlignment="1">
      <alignment horizontal="left" vertical="center"/>
    </xf>
    <xf numFmtId="0" fontId="0" fillId="16" borderId="0" xfId="0" applyFill="1" applyAlignment="1">
      <alignment horizontal="left"/>
    </xf>
    <xf numFmtId="181" fontId="0" fillId="16" borderId="0" xfId="0" applyNumberFormat="1" applyFill="1" applyBorder="1" applyAlignment="1">
      <alignment horizontal="center"/>
    </xf>
    <xf numFmtId="0" fontId="0" fillId="16" borderId="0" xfId="0" applyFill="1" applyBorder="1" applyAlignment="1">
      <alignment horizontal="center"/>
    </xf>
    <xf numFmtId="0" fontId="5" fillId="16" borderId="0" xfId="0" applyFont="1" applyFill="1" applyBorder="1"/>
    <xf numFmtId="0" fontId="23" fillId="16" borderId="0" xfId="0" applyFont="1" applyFill="1" applyBorder="1" applyAlignment="1">
      <alignment horizontal="center" vertical="center"/>
    </xf>
    <xf numFmtId="0" fontId="0" fillId="16" borderId="0" xfId="0" applyFill="1"/>
    <xf numFmtId="0" fontId="36" fillId="16" borderId="0" xfId="0" applyFont="1" applyFill="1"/>
    <xf numFmtId="0" fontId="37" fillId="16" borderId="0" xfId="0" applyFont="1" applyFill="1" applyAlignment="1">
      <alignment horizontal="center"/>
    </xf>
    <xf numFmtId="169" fontId="37" fillId="16" borderId="0" xfId="0" applyNumberFormat="1" applyFont="1" applyFill="1"/>
    <xf numFmtId="2" fontId="37" fillId="16" borderId="0" xfId="0" applyNumberFormat="1" applyFont="1" applyFill="1" applyBorder="1"/>
    <xf numFmtId="168" fontId="37" fillId="16" borderId="0" xfId="0" applyNumberFormat="1" applyFont="1" applyFill="1"/>
    <xf numFmtId="0" fontId="13" fillId="16" borderId="0" xfId="0" applyFont="1" applyFill="1" applyAlignment="1">
      <alignment horizontal="left"/>
    </xf>
    <xf numFmtId="0" fontId="18" fillId="16" borderId="0" xfId="0" applyFont="1" applyFill="1"/>
    <xf numFmtId="0" fontId="32" fillId="16" borderId="0" xfId="0" applyFont="1" applyFill="1"/>
    <xf numFmtId="167" fontId="14" fillId="16" borderId="0" xfId="0" applyNumberFormat="1" applyFont="1" applyFill="1" applyAlignment="1">
      <alignment horizontal="center"/>
    </xf>
    <xf numFmtId="3" fontId="14" fillId="16" borderId="0" xfId="0" applyNumberFormat="1" applyFont="1" applyFill="1" applyAlignment="1">
      <alignment horizontal="center"/>
    </xf>
    <xf numFmtId="174" fontId="14" fillId="16" borderId="0" xfId="0" applyNumberFormat="1" applyFont="1" applyFill="1" applyAlignment="1">
      <alignment horizontal="center"/>
    </xf>
    <xf numFmtId="0" fontId="32" fillId="16" borderId="0" xfId="0" applyFont="1" applyFill="1" applyBorder="1"/>
    <xf numFmtId="0" fontId="26" fillId="16" borderId="0" xfId="0" applyFont="1" applyFill="1" applyBorder="1" applyAlignment="1">
      <alignment horizontal="center"/>
    </xf>
    <xf numFmtId="0" fontId="18" fillId="16" borderId="0" xfId="0" applyFont="1" applyFill="1" applyAlignment="1">
      <alignment horizontal="center"/>
    </xf>
    <xf numFmtId="0" fontId="47" fillId="16" borderId="0" xfId="0" applyFont="1" applyFill="1" applyAlignment="1">
      <alignment vertical="center"/>
    </xf>
    <xf numFmtId="0" fontId="41" fillId="16" borderId="0" xfId="0" applyFont="1" applyFill="1" applyAlignment="1">
      <alignment horizontal="left" wrapText="1"/>
    </xf>
    <xf numFmtId="0" fontId="41" fillId="16" borderId="0" xfId="0" applyFont="1" applyFill="1" applyAlignment="1">
      <alignment wrapText="1"/>
    </xf>
    <xf numFmtId="0" fontId="4" fillId="16" borderId="0" xfId="0" applyFont="1" applyFill="1" applyBorder="1"/>
    <xf numFmtId="0" fontId="13" fillId="16" borderId="0" xfId="0" applyFont="1" applyFill="1"/>
    <xf numFmtId="181" fontId="13" fillId="16" borderId="0" xfId="0" applyNumberFormat="1" applyFont="1" applyFill="1" applyBorder="1" applyAlignment="1">
      <alignment horizontal="center"/>
    </xf>
    <xf numFmtId="0" fontId="13" fillId="16" borderId="0" xfId="0" applyFont="1" applyFill="1" applyBorder="1" applyAlignment="1">
      <alignment horizontal="center"/>
    </xf>
    <xf numFmtId="0" fontId="12" fillId="16" borderId="0" xfId="0" applyFont="1" applyFill="1"/>
    <xf numFmtId="0" fontId="12" fillId="16" borderId="0" xfId="0" applyFont="1" applyFill="1" applyAlignment="1">
      <alignment wrapText="1"/>
    </xf>
    <xf numFmtId="0" fontId="3" fillId="9" borderId="0" xfId="0" applyFont="1" applyFill="1" applyAlignment="1">
      <alignment horizontal="right"/>
    </xf>
    <xf numFmtId="0" fontId="3" fillId="9" borderId="0" xfId="0" applyFont="1" applyFill="1"/>
    <xf numFmtId="167" fontId="3" fillId="0" borderId="31" xfId="0" applyNumberFormat="1" applyFont="1" applyFill="1" applyBorder="1" applyAlignment="1">
      <alignment horizontal="center"/>
    </xf>
    <xf numFmtId="2" fontId="3" fillId="0" borderId="39" xfId="0" applyNumberFormat="1" applyFont="1" applyFill="1" applyBorder="1" applyAlignment="1">
      <alignment horizontal="center"/>
    </xf>
    <xf numFmtId="2" fontId="3" fillId="0" borderId="38" xfId="0" applyNumberFormat="1" applyFont="1" applyFill="1" applyBorder="1" applyAlignment="1">
      <alignment horizontal="center"/>
    </xf>
    <xf numFmtId="9" fontId="3" fillId="0" borderId="31" xfId="0" applyNumberFormat="1" applyFont="1" applyFill="1" applyBorder="1" applyAlignment="1">
      <alignment horizontal="center"/>
    </xf>
    <xf numFmtId="0" fontId="3" fillId="9" borderId="0" xfId="0" applyFont="1" applyFill="1" applyBorder="1"/>
    <xf numFmtId="0" fontId="3" fillId="0" borderId="31" xfId="0" applyFont="1" applyBorder="1" applyAlignment="1">
      <alignment horizontal="center"/>
    </xf>
    <xf numFmtId="213" fontId="3" fillId="0" borderId="31" xfId="0" applyNumberFormat="1" applyFont="1" applyFill="1" applyBorder="1" applyAlignment="1">
      <alignment horizontal="center" vertical="center"/>
    </xf>
    <xf numFmtId="177" fontId="3" fillId="0" borderId="31" xfId="0" applyNumberFormat="1" applyFont="1" applyFill="1" applyBorder="1" applyAlignment="1" applyProtection="1">
      <alignment horizontal="center" vertical="center"/>
      <protection locked="0"/>
    </xf>
    <xf numFmtId="0" fontId="52" fillId="0" borderId="0" xfId="1" applyFont="1" applyAlignment="1" applyProtection="1"/>
    <xf numFmtId="0" fontId="3" fillId="0" borderId="0" xfId="0" applyFont="1" applyFill="1" applyAlignment="1">
      <alignment horizontal="left" vertical="center" wrapText="1"/>
    </xf>
    <xf numFmtId="3" fontId="3" fillId="0" borderId="31" xfId="0" applyNumberFormat="1" applyFont="1" applyFill="1" applyBorder="1" applyAlignment="1">
      <alignment horizontal="center" vertical="center"/>
    </xf>
    <xf numFmtId="167" fontId="3" fillId="0" borderId="31" xfId="0" applyNumberFormat="1" applyFont="1" applyFill="1" applyBorder="1" applyAlignment="1">
      <alignment horizontal="center" vertical="center"/>
    </xf>
    <xf numFmtId="0" fontId="3" fillId="0" borderId="31" xfId="0" applyFont="1" applyFill="1" applyBorder="1" applyAlignment="1">
      <alignment horizontal="center" vertical="center"/>
    </xf>
    <xf numFmtId="0" fontId="3" fillId="0" borderId="0" xfId="0" applyFont="1" applyFill="1" applyAlignment="1">
      <alignment horizontal="center" vertical="center"/>
    </xf>
    <xf numFmtId="192" fontId="3" fillId="0" borderId="31" xfId="0" applyNumberFormat="1" applyFont="1" applyFill="1" applyBorder="1" applyAlignment="1">
      <alignment horizontal="center" vertical="center"/>
    </xf>
    <xf numFmtId="10" fontId="3" fillId="0" borderId="0" xfId="2" applyNumberFormat="1" applyFont="1" applyFill="1" applyBorder="1" applyAlignment="1" applyProtection="1">
      <alignment horizontal="center" vertical="center"/>
    </xf>
    <xf numFmtId="9" fontId="3" fillId="0" borderId="0" xfId="2" applyFont="1" applyFill="1" applyBorder="1" applyAlignment="1" applyProtection="1">
      <alignment horizontal="center" vertical="center"/>
    </xf>
    <xf numFmtId="178" fontId="3" fillId="0" borderId="31" xfId="0" applyNumberFormat="1" applyFont="1" applyFill="1" applyBorder="1" applyAlignment="1">
      <alignment horizontal="center" vertical="center"/>
    </xf>
    <xf numFmtId="173" fontId="3" fillId="0" borderId="37" xfId="2" applyNumberFormat="1" applyFont="1" applyFill="1" applyBorder="1" applyAlignment="1">
      <alignment horizontal="center" vertical="center"/>
    </xf>
    <xf numFmtId="192" fontId="3" fillId="0" borderId="0" xfId="0" applyNumberFormat="1" applyFont="1" applyFill="1" applyAlignment="1">
      <alignment horizontal="center"/>
    </xf>
    <xf numFmtId="0" fontId="3" fillId="0" borderId="0" xfId="0" applyFont="1" applyAlignment="1">
      <alignment vertical="center"/>
    </xf>
    <xf numFmtId="0" fontId="3" fillId="8" borderId="0" xfId="0" applyFont="1" applyFill="1" applyAlignment="1">
      <alignment vertical="center"/>
    </xf>
    <xf numFmtId="0" fontId="3" fillId="8" borderId="31" xfId="0" applyFont="1" applyFill="1" applyBorder="1" applyAlignment="1">
      <alignment vertical="center"/>
    </xf>
    <xf numFmtId="0" fontId="3" fillId="8" borderId="34" xfId="0" applyFont="1" applyFill="1" applyBorder="1" applyAlignment="1">
      <alignment vertical="center"/>
    </xf>
    <xf numFmtId="168" fontId="3" fillId="0" borderId="31" xfId="0" applyNumberFormat="1" applyFont="1" applyFill="1" applyBorder="1" applyAlignment="1">
      <alignment horizontal="center" vertical="center"/>
    </xf>
    <xf numFmtId="168" fontId="3" fillId="0" borderId="34" xfId="0" applyNumberFormat="1" applyFont="1" applyFill="1" applyBorder="1" applyAlignment="1">
      <alignment horizontal="center" vertical="center"/>
    </xf>
    <xf numFmtId="0" fontId="3" fillId="0" borderId="0" xfId="0" applyFont="1" applyAlignment="1">
      <alignment horizontal="left" vertical="center"/>
    </xf>
    <xf numFmtId="49" fontId="3" fillId="8" borderId="0" xfId="0" applyNumberFormat="1" applyFont="1" applyFill="1" applyAlignment="1">
      <alignment horizontal="left" vertical="center" wrapText="1"/>
    </xf>
    <xf numFmtId="182" fontId="3" fillId="0" borderId="34" xfId="0" applyNumberFormat="1" applyFont="1" applyFill="1" applyBorder="1" applyAlignment="1">
      <alignment horizontal="center" vertical="center"/>
    </xf>
    <xf numFmtId="0" fontId="3" fillId="0" borderId="31" xfId="0" applyFont="1" applyBorder="1" applyAlignment="1">
      <alignment horizontal="center" vertical="center"/>
    </xf>
    <xf numFmtId="173" fontId="3" fillId="0" borderId="0" xfId="0" applyNumberFormat="1" applyFont="1" applyFill="1" applyAlignment="1">
      <alignment vertical="center"/>
    </xf>
    <xf numFmtId="49" fontId="3" fillId="0" borderId="0" xfId="0" applyNumberFormat="1" applyFont="1" applyFill="1" applyAlignment="1">
      <alignment horizontal="right" vertical="center" wrapText="1"/>
    </xf>
    <xf numFmtId="168" fontId="3" fillId="0" borderId="37" xfId="0" applyNumberFormat="1" applyFont="1" applyFill="1" applyBorder="1" applyAlignment="1">
      <alignment horizontal="center" vertical="center"/>
    </xf>
    <xf numFmtId="168" fontId="3" fillId="0" borderId="38" xfId="0" applyNumberFormat="1" applyFont="1" applyFill="1" applyBorder="1" applyAlignment="1">
      <alignment horizontal="center" vertical="center"/>
    </xf>
    <xf numFmtId="168" fontId="3" fillId="0" borderId="0" xfId="0" applyNumberFormat="1" applyFont="1" applyFill="1" applyAlignment="1">
      <alignment horizontal="center" vertical="center"/>
    </xf>
    <xf numFmtId="0" fontId="14" fillId="7"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4" fillId="13" borderId="0" xfId="0" applyNumberFormat="1" applyFont="1" applyFill="1" applyBorder="1" applyAlignment="1">
      <alignment horizontal="center" vertical="center"/>
    </xf>
    <xf numFmtId="192" fontId="12" fillId="8" borderId="36" xfId="0" applyNumberFormat="1" applyFont="1" applyFill="1" applyBorder="1" applyAlignment="1">
      <alignment horizontal="center" vertical="center"/>
    </xf>
    <xf numFmtId="192" fontId="12" fillId="8" borderId="35" xfId="0" applyNumberFormat="1" applyFont="1" applyFill="1" applyBorder="1" applyAlignment="1">
      <alignment horizontal="center" vertical="center"/>
    </xf>
    <xf numFmtId="0" fontId="3" fillId="0" borderId="0" xfId="0" applyFont="1" applyFill="1" applyAlignment="1">
      <alignment horizontal="right" vertical="center"/>
    </xf>
    <xf numFmtId="196" fontId="3" fillId="0" borderId="31" xfId="0" applyNumberFormat="1" applyFont="1" applyFill="1" applyBorder="1" applyAlignment="1">
      <alignment horizontal="center" vertical="center"/>
    </xf>
    <xf numFmtId="196" fontId="3" fillId="0" borderId="34" xfId="0" applyNumberFormat="1" applyFont="1" applyFill="1" applyBorder="1" applyAlignment="1">
      <alignment horizontal="center" vertical="center"/>
    </xf>
    <xf numFmtId="49" fontId="26" fillId="0" borderId="0" xfId="0" applyNumberFormat="1" applyFont="1" applyFill="1" applyAlignment="1">
      <alignment vertical="center" wrapText="1"/>
    </xf>
    <xf numFmtId="192" fontId="12" fillId="0" borderId="31" xfId="0" applyNumberFormat="1" applyFont="1" applyFill="1" applyBorder="1" applyAlignment="1">
      <alignment horizontal="center" vertical="center"/>
    </xf>
    <xf numFmtId="192" fontId="12" fillId="0" borderId="34" xfId="0" applyNumberFormat="1" applyFont="1" applyFill="1" applyBorder="1" applyAlignment="1">
      <alignment horizontal="center" vertical="center"/>
    </xf>
    <xf numFmtId="0" fontId="57" fillId="0" borderId="0" xfId="0" applyFont="1" applyFill="1" applyAlignment="1">
      <alignment vertical="center"/>
    </xf>
    <xf numFmtId="0" fontId="3" fillId="0" borderId="0" xfId="0" applyFont="1" applyFill="1" applyBorder="1" applyAlignment="1">
      <alignment vertical="center" wrapText="1"/>
    </xf>
    <xf numFmtId="181" fontId="12" fillId="8" borderId="31" xfId="0" applyNumberFormat="1" applyFont="1" applyFill="1" applyBorder="1" applyAlignment="1">
      <alignment horizontal="center" vertical="center"/>
    </xf>
    <xf numFmtId="181" fontId="12" fillId="8" borderId="34" xfId="0" applyNumberFormat="1" applyFont="1" applyFill="1" applyBorder="1" applyAlignment="1">
      <alignment horizontal="center" vertical="center"/>
    </xf>
    <xf numFmtId="192" fontId="3" fillId="0" borderId="31" xfId="2" applyNumberFormat="1" applyFont="1" applyFill="1" applyBorder="1" applyAlignment="1">
      <alignment horizontal="center" vertical="center"/>
    </xf>
    <xf numFmtId="192" fontId="3" fillId="0" borderId="34" xfId="2" applyNumberFormat="1" applyFont="1" applyFill="1" applyBorder="1" applyAlignment="1">
      <alignment horizontal="center" vertical="center"/>
    </xf>
    <xf numFmtId="0" fontId="3" fillId="0" borderId="0" xfId="0" applyFont="1" applyAlignment="1">
      <alignment horizontal="right" vertical="center"/>
    </xf>
    <xf numFmtId="189" fontId="3" fillId="0" borderId="31" xfId="0" applyNumberFormat="1" applyFont="1" applyFill="1" applyBorder="1" applyAlignment="1">
      <alignment horizontal="center" vertical="center"/>
    </xf>
    <xf numFmtId="189" fontId="3" fillId="0" borderId="34" xfId="0" applyNumberFormat="1" applyFont="1" applyFill="1" applyBorder="1" applyAlignment="1">
      <alignment horizontal="center" vertical="center"/>
    </xf>
    <xf numFmtId="0" fontId="3" fillId="0" borderId="0" xfId="0" applyFont="1" applyBorder="1" applyAlignment="1">
      <alignment vertical="center"/>
    </xf>
    <xf numFmtId="0" fontId="57" fillId="0" borderId="0" xfId="0" applyFont="1" applyFill="1" applyBorder="1" applyAlignment="1">
      <alignment vertical="center"/>
    </xf>
    <xf numFmtId="0" fontId="3" fillId="0" borderId="0" xfId="0" applyFont="1" applyFill="1" applyBorder="1" applyAlignment="1">
      <alignment horizontal="left" vertical="center" wrapText="1"/>
    </xf>
    <xf numFmtId="9" fontId="3" fillId="0" borderId="31" xfId="0" applyNumberFormat="1" applyFont="1" applyFill="1" applyBorder="1" applyAlignment="1">
      <alignment horizontal="center" vertical="center"/>
    </xf>
    <xf numFmtId="9" fontId="3" fillId="0" borderId="34" xfId="0" applyNumberFormat="1" applyFont="1" applyFill="1" applyBorder="1" applyAlignment="1">
      <alignment horizontal="center" vertical="center"/>
    </xf>
    <xf numFmtId="213" fontId="12" fillId="8" borderId="31" xfId="0" applyNumberFormat="1" applyFont="1" applyFill="1" applyBorder="1" applyAlignment="1">
      <alignment horizontal="center" vertical="center"/>
    </xf>
    <xf numFmtId="213" fontId="12" fillId="8" borderId="34" xfId="0" applyNumberFormat="1" applyFont="1" applyFill="1" applyBorder="1" applyAlignment="1">
      <alignment horizontal="center" vertical="center"/>
    </xf>
    <xf numFmtId="0" fontId="3" fillId="0" borderId="0" xfId="0" applyFont="1" applyBorder="1" applyAlignment="1">
      <alignment horizontal="right" vertical="center"/>
    </xf>
    <xf numFmtId="194" fontId="3" fillId="0" borderId="31" xfId="0" applyNumberFormat="1" applyFont="1" applyFill="1" applyBorder="1" applyAlignment="1">
      <alignment horizontal="center" vertical="center"/>
    </xf>
    <xf numFmtId="194" fontId="3" fillId="0" borderId="34" xfId="0" applyNumberFormat="1" applyFont="1" applyFill="1" applyBorder="1" applyAlignment="1">
      <alignment horizontal="center" vertical="center"/>
    </xf>
    <xf numFmtId="221" fontId="12" fillId="8" borderId="37" xfId="0" applyNumberFormat="1" applyFont="1" applyFill="1" applyBorder="1" applyAlignment="1">
      <alignment horizontal="center" vertical="center"/>
    </xf>
    <xf numFmtId="221" fontId="12" fillId="8" borderId="38" xfId="0" applyNumberFormat="1" applyFont="1" applyFill="1" applyBorder="1" applyAlignment="1">
      <alignment horizontal="center" vertical="center"/>
    </xf>
    <xf numFmtId="9" fontId="3" fillId="0" borderId="31" xfId="2" applyFont="1" applyFill="1" applyBorder="1" applyAlignment="1">
      <alignment horizontal="center" vertical="center"/>
    </xf>
    <xf numFmtId="9" fontId="3" fillId="0" borderId="34" xfId="2" applyFont="1" applyFill="1" applyBorder="1" applyAlignment="1">
      <alignment horizontal="center" vertical="center"/>
    </xf>
    <xf numFmtId="194" fontId="3" fillId="0" borderId="37" xfId="0" applyNumberFormat="1" applyFont="1" applyFill="1" applyBorder="1" applyAlignment="1">
      <alignment horizontal="center" vertical="center"/>
    </xf>
    <xf numFmtId="194" fontId="3" fillId="0" borderId="38" xfId="0" applyNumberFormat="1" applyFont="1" applyFill="1" applyBorder="1" applyAlignment="1">
      <alignment horizontal="center" vertical="center"/>
    </xf>
    <xf numFmtId="168" fontId="3" fillId="14" borderId="0" xfId="2" applyNumberFormat="1" applyFont="1" applyFill="1"/>
    <xf numFmtId="168" fontId="3" fillId="0" borderId="0" xfId="2" applyNumberFormat="1" applyFont="1" applyFill="1"/>
    <xf numFmtId="192" fontId="3" fillId="0" borderId="36" xfId="0" applyNumberFormat="1" applyFont="1" applyFill="1" applyBorder="1" applyAlignment="1">
      <alignment horizontal="center" vertical="center" wrapText="1"/>
    </xf>
    <xf numFmtId="9" fontId="3" fillId="0" borderId="0" xfId="2" applyFont="1" applyFill="1" applyBorder="1" applyAlignment="1" applyProtection="1">
      <alignment horizontal="center" vertical="center" wrapText="1"/>
    </xf>
    <xf numFmtId="192" fontId="3" fillId="0" borderId="35" xfId="0" applyNumberFormat="1" applyFont="1" applyFill="1" applyBorder="1" applyAlignment="1">
      <alignment horizontal="center" vertical="center" wrapText="1"/>
    </xf>
    <xf numFmtId="192" fontId="3" fillId="0" borderId="31" xfId="0" applyNumberFormat="1" applyFont="1" applyFill="1" applyBorder="1" applyAlignment="1">
      <alignment horizontal="center" vertical="center" wrapText="1"/>
    </xf>
    <xf numFmtId="192" fontId="3" fillId="0" borderId="34" xfId="0" applyNumberFormat="1" applyFont="1" applyFill="1" applyBorder="1" applyAlignment="1">
      <alignment horizontal="center" vertical="center" wrapText="1"/>
    </xf>
    <xf numFmtId="0" fontId="3" fillId="0" borderId="4" xfId="0" applyFont="1" applyFill="1" applyBorder="1" applyAlignment="1">
      <alignment vertical="center"/>
    </xf>
    <xf numFmtId="9" fontId="3" fillId="0" borderId="4" xfId="2" applyFont="1" applyFill="1" applyBorder="1" applyAlignment="1" applyProtection="1">
      <alignment horizontal="center" vertical="center" wrapText="1"/>
    </xf>
    <xf numFmtId="9" fontId="3" fillId="0" borderId="34" xfId="0" applyNumberFormat="1" applyFont="1" applyFill="1" applyBorder="1" applyAlignment="1">
      <alignment horizontal="center"/>
    </xf>
    <xf numFmtId="9" fontId="3" fillId="0" borderId="37" xfId="0" applyNumberFormat="1" applyFont="1" applyFill="1" applyBorder="1" applyAlignment="1">
      <alignment horizontal="center"/>
    </xf>
    <xf numFmtId="9" fontId="3" fillId="0" borderId="38" xfId="0" applyNumberFormat="1" applyFont="1" applyFill="1" applyBorder="1" applyAlignment="1">
      <alignment horizontal="center"/>
    </xf>
    <xf numFmtId="0" fontId="3" fillId="0" borderId="31" xfId="0" applyFont="1" applyBorder="1"/>
    <xf numFmtId="0" fontId="3" fillId="0" borderId="34" xfId="0" applyFont="1" applyBorder="1"/>
    <xf numFmtId="9" fontId="3" fillId="0" borderId="31" xfId="0" applyNumberFormat="1" applyFont="1" applyBorder="1" applyAlignment="1">
      <alignment horizontal="center"/>
    </xf>
    <xf numFmtId="9" fontId="3" fillId="0" borderId="34" xfId="0" applyNumberFormat="1" applyFont="1" applyBorder="1" applyAlignment="1">
      <alignment horizontal="center"/>
    </xf>
    <xf numFmtId="9" fontId="3" fillId="0" borderId="37" xfId="0" applyNumberFormat="1" applyFont="1" applyBorder="1" applyAlignment="1">
      <alignment horizontal="center"/>
    </xf>
    <xf numFmtId="9" fontId="3" fillId="0" borderId="38" xfId="0" applyNumberFormat="1" applyFont="1" applyBorder="1" applyAlignment="1">
      <alignment horizontal="center"/>
    </xf>
    <xf numFmtId="49" fontId="3" fillId="0" borderId="0" xfId="0" applyNumberFormat="1" applyFont="1" applyFill="1" applyAlignment="1">
      <alignment vertical="center"/>
    </xf>
    <xf numFmtId="0" fontId="3" fillId="0" borderId="4" xfId="0" applyFont="1" applyBorder="1"/>
    <xf numFmtId="0" fontId="3" fillId="0" borderId="0" xfId="0" applyFont="1" applyAlignment="1">
      <alignment vertical="center" wrapText="1"/>
    </xf>
    <xf numFmtId="192" fontId="3" fillId="0" borderId="36" xfId="0" applyNumberFormat="1" applyFont="1" applyBorder="1" applyAlignment="1">
      <alignment horizontal="center" vertical="center"/>
    </xf>
    <xf numFmtId="173" fontId="3" fillId="0" borderId="0" xfId="2" applyNumberFormat="1" applyFont="1" applyFill="1" applyBorder="1" applyAlignment="1" applyProtection="1">
      <alignment horizontal="center" vertical="center" wrapText="1"/>
    </xf>
    <xf numFmtId="192" fontId="3" fillId="0" borderId="35" xfId="0" applyNumberFormat="1" applyFont="1" applyBorder="1" applyAlignment="1">
      <alignment horizontal="center" vertical="center"/>
    </xf>
    <xf numFmtId="0" fontId="3" fillId="0" borderId="4" xfId="0" applyFont="1" applyBorder="1" applyAlignment="1">
      <alignment vertical="center" wrapText="1"/>
    </xf>
    <xf numFmtId="192" fontId="3" fillId="0" borderId="31" xfId="0" applyNumberFormat="1" applyFont="1" applyBorder="1" applyAlignment="1">
      <alignment horizontal="center" vertical="center"/>
    </xf>
    <xf numFmtId="173" fontId="3" fillId="0" borderId="4" xfId="2" applyNumberFormat="1" applyFont="1" applyFill="1" applyBorder="1" applyAlignment="1" applyProtection="1">
      <alignment horizontal="center" vertical="center" wrapText="1"/>
    </xf>
    <xf numFmtId="192" fontId="3" fillId="0" borderId="34" xfId="0" applyNumberFormat="1" applyFont="1" applyBorder="1" applyAlignment="1">
      <alignment horizontal="center" vertical="center"/>
    </xf>
    <xf numFmtId="0" fontId="3" fillId="0" borderId="31" xfId="0" applyFont="1" applyBorder="1" applyAlignment="1">
      <alignment vertical="center"/>
    </xf>
    <xf numFmtId="0" fontId="3" fillId="0" borderId="34" xfId="0" applyFont="1" applyBorder="1" applyAlignment="1">
      <alignment vertical="center"/>
    </xf>
    <xf numFmtId="9" fontId="3" fillId="0" borderId="31" xfId="0" applyNumberFormat="1" applyFont="1" applyBorder="1" applyAlignment="1">
      <alignment horizontal="center" vertical="center"/>
    </xf>
    <xf numFmtId="9" fontId="3" fillId="0" borderId="34" xfId="0" applyNumberFormat="1" applyFont="1" applyBorder="1" applyAlignment="1">
      <alignment horizontal="center" vertical="center"/>
    </xf>
    <xf numFmtId="9" fontId="3" fillId="0" borderId="37" xfId="0" applyNumberFormat="1" applyFont="1" applyBorder="1" applyAlignment="1">
      <alignment horizontal="center" vertical="center"/>
    </xf>
    <xf numFmtId="9" fontId="3" fillId="0" borderId="38" xfId="0" applyNumberFormat="1" applyFont="1" applyBorder="1" applyAlignment="1">
      <alignment horizontal="center" vertical="center"/>
    </xf>
    <xf numFmtId="192" fontId="3" fillId="0" borderId="36" xfId="0" applyNumberFormat="1" applyFont="1" applyBorder="1" applyAlignment="1">
      <alignment horizontal="center"/>
    </xf>
    <xf numFmtId="192" fontId="3" fillId="0" borderId="0" xfId="0" applyNumberFormat="1" applyFont="1" applyAlignment="1">
      <alignment horizontal="center"/>
    </xf>
    <xf numFmtId="192" fontId="3" fillId="0" borderId="31" xfId="0" applyNumberFormat="1" applyFont="1" applyBorder="1" applyAlignment="1">
      <alignment horizontal="center"/>
    </xf>
    <xf numFmtId="192" fontId="3" fillId="0" borderId="0" xfId="0" applyNumberFormat="1" applyFont="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right"/>
    </xf>
    <xf numFmtId="220" fontId="3" fillId="0" borderId="31" xfId="0" applyNumberFormat="1" applyFont="1" applyBorder="1" applyAlignment="1">
      <alignment horizontal="center"/>
    </xf>
    <xf numFmtId="0" fontId="3" fillId="0" borderId="9" xfId="0" applyFont="1" applyBorder="1"/>
    <xf numFmtId="1" fontId="3" fillId="0" borderId="31" xfId="0" applyNumberFormat="1" applyFont="1" applyBorder="1" applyAlignment="1">
      <alignment horizontal="center"/>
    </xf>
    <xf numFmtId="192" fontId="3" fillId="0" borderId="35" xfId="0" applyNumberFormat="1" applyFont="1" applyBorder="1" applyAlignment="1">
      <alignment horizontal="center"/>
    </xf>
    <xf numFmtId="192" fontId="3" fillId="0" borderId="34" xfId="0" applyNumberFormat="1" applyFont="1" applyBorder="1" applyAlignment="1">
      <alignment horizontal="center"/>
    </xf>
    <xf numFmtId="192" fontId="3" fillId="0" borderId="32" xfId="0" applyNumberFormat="1" applyFont="1" applyBorder="1" applyAlignment="1">
      <alignment horizontal="center"/>
    </xf>
    <xf numFmtId="192" fontId="3" fillId="0" borderId="40" xfId="0" applyNumberFormat="1" applyFont="1" applyBorder="1" applyAlignment="1">
      <alignment horizontal="center"/>
    </xf>
    <xf numFmtId="0" fontId="3" fillId="0" borderId="33" xfId="0" applyFont="1" applyBorder="1"/>
    <xf numFmtId="9" fontId="3" fillId="0" borderId="33" xfId="0" applyNumberFormat="1" applyFont="1" applyBorder="1" applyAlignment="1">
      <alignment horizontal="center"/>
    </xf>
    <xf numFmtId="9" fontId="3" fillId="0" borderId="39" xfId="0" applyNumberFormat="1" applyFont="1" applyBorder="1" applyAlignment="1">
      <alignment horizontal="center"/>
    </xf>
    <xf numFmtId="220" fontId="3" fillId="0" borderId="34" xfId="0" applyNumberFormat="1" applyFont="1" applyBorder="1" applyAlignment="1">
      <alignment horizontal="center"/>
    </xf>
    <xf numFmtId="0" fontId="3" fillId="0" borderId="34" xfId="0" applyFont="1" applyBorder="1" applyAlignment="1">
      <alignment horizontal="center"/>
    </xf>
    <xf numFmtId="0" fontId="12" fillId="8" borderId="30" xfId="0" applyFont="1" applyFill="1" applyBorder="1"/>
    <xf numFmtId="0" fontId="3" fillId="0" borderId="41" xfId="0" applyFont="1" applyBorder="1"/>
    <xf numFmtId="0" fontId="3" fillId="0" borderId="15" xfId="0" applyFont="1" applyBorder="1"/>
    <xf numFmtId="0" fontId="3" fillId="0" borderId="42" xfId="0" applyFont="1" applyBorder="1"/>
    <xf numFmtId="177" fontId="57" fillId="14" borderId="0" xfId="0" applyNumberFormat="1" applyFont="1" applyFill="1" applyAlignment="1">
      <alignment horizontal="center"/>
    </xf>
    <xf numFmtId="182" fontId="0" fillId="0" borderId="0" xfId="0" applyNumberFormat="1" applyFill="1" applyAlignment="1">
      <alignment horizontal="center"/>
    </xf>
    <xf numFmtId="4" fontId="84" fillId="0" borderId="0" xfId="0" applyNumberFormat="1" applyFont="1" applyFill="1" applyAlignment="1">
      <alignment horizontal="center"/>
    </xf>
    <xf numFmtId="4" fontId="0" fillId="17" borderId="0" xfId="0" applyNumberFormat="1" applyFill="1" applyAlignment="1">
      <alignment horizontal="center"/>
    </xf>
    <xf numFmtId="4" fontId="3" fillId="0" borderId="0" xfId="0" applyNumberFormat="1" applyFont="1" applyFill="1" applyBorder="1" applyAlignment="1">
      <alignment horizontal="center"/>
    </xf>
    <xf numFmtId="0" fontId="23" fillId="18" borderId="0" xfId="0" applyFont="1" applyFill="1" applyBorder="1" applyAlignment="1">
      <alignment horizontal="left" vertical="center"/>
    </xf>
    <xf numFmtId="0" fontId="60" fillId="18" borderId="0" xfId="0" applyFont="1" applyFill="1" applyBorder="1"/>
    <xf numFmtId="0" fontId="0" fillId="18" borderId="0" xfId="0" applyFill="1"/>
    <xf numFmtId="0" fontId="80" fillId="18" borderId="0" xfId="0" applyFont="1" applyFill="1"/>
    <xf numFmtId="0" fontId="33" fillId="18" borderId="0" xfId="0" applyFont="1" applyFill="1" applyBorder="1" applyAlignment="1">
      <alignment horizontal="center" vertical="center"/>
    </xf>
    <xf numFmtId="0" fontId="67" fillId="18" borderId="0" xfId="0" applyFont="1" applyFill="1"/>
    <xf numFmtId="175" fontId="41" fillId="18" borderId="0" xfId="0" applyNumberFormat="1" applyFont="1" applyFill="1" applyAlignment="1">
      <alignment horizontal="left"/>
    </xf>
    <xf numFmtId="0" fontId="23" fillId="18" borderId="0" xfId="0" applyFont="1" applyFill="1"/>
    <xf numFmtId="0" fontId="44" fillId="18" borderId="0" xfId="0" applyFont="1" applyFill="1" applyAlignment="1">
      <alignment horizontal="right"/>
    </xf>
    <xf numFmtId="0" fontId="44" fillId="18" borderId="0" xfId="0" applyFont="1" applyFill="1"/>
    <xf numFmtId="0" fontId="33" fillId="18" borderId="0" xfId="0" applyFont="1" applyFill="1" applyBorder="1" applyAlignment="1">
      <alignment horizontal="center"/>
    </xf>
    <xf numFmtId="0" fontId="41" fillId="18" borderId="0" xfId="0" applyFont="1" applyFill="1" applyAlignment="1"/>
    <xf numFmtId="0" fontId="40" fillId="18" borderId="0" xfId="0" applyFont="1" applyFill="1" applyAlignment="1">
      <alignment horizontal="left"/>
    </xf>
    <xf numFmtId="0" fontId="0" fillId="18" borderId="0" xfId="0" applyFill="1" applyBorder="1" applyAlignment="1">
      <alignment horizontal="center"/>
    </xf>
    <xf numFmtId="219" fontId="57" fillId="14" borderId="0" xfId="0" applyNumberFormat="1" applyFont="1" applyFill="1" applyAlignment="1">
      <alignment horizontal="center"/>
    </xf>
    <xf numFmtId="196" fontId="0" fillId="0" borderId="0" xfId="0" applyNumberFormat="1" applyFill="1" applyAlignment="1">
      <alignment horizontal="center"/>
    </xf>
    <xf numFmtId="0" fontId="0" fillId="0" borderId="0" xfId="0" applyFont="1" applyFill="1"/>
    <xf numFmtId="0" fontId="3" fillId="0" borderId="0" xfId="0" applyFont="1" applyFill="1" applyAlignment="1">
      <alignment horizontal="left"/>
    </xf>
    <xf numFmtId="222" fontId="0" fillId="0" borderId="0" xfId="0" applyNumberFormat="1" applyFill="1" applyBorder="1" applyAlignment="1">
      <alignment horizontal="center"/>
    </xf>
    <xf numFmtId="222" fontId="0" fillId="0" borderId="0" xfId="0" applyNumberFormat="1" applyFill="1" applyBorder="1" applyAlignment="1">
      <alignment horizontal="left"/>
    </xf>
    <xf numFmtId="222" fontId="86" fillId="0" borderId="0" xfId="0" applyNumberFormat="1" applyFont="1" applyFill="1" applyBorder="1" applyAlignment="1"/>
    <xf numFmtId="0" fontId="13" fillId="0" borderId="0" xfId="0" applyFont="1" applyFill="1" applyBorder="1" applyAlignment="1">
      <alignment horizontal="right"/>
    </xf>
    <xf numFmtId="0" fontId="0" fillId="0" borderId="0" xfId="0" applyFill="1" applyBorder="1" applyProtection="1">
      <protection locked="0"/>
    </xf>
    <xf numFmtId="0" fontId="3" fillId="12" borderId="0" xfId="0" applyFont="1" applyFill="1"/>
    <xf numFmtId="0" fontId="20" fillId="14" borderId="0" xfId="0" applyFont="1" applyFill="1" applyAlignment="1">
      <alignment horizontal="center" vertical="center"/>
    </xf>
    <xf numFmtId="168" fontId="21" fillId="3" borderId="0" xfId="0" applyNumberFormat="1" applyFont="1" applyFill="1" applyBorder="1" applyAlignment="1">
      <alignment horizontal="center"/>
    </xf>
    <xf numFmtId="9" fontId="63" fillId="10" borderId="25" xfId="0" applyNumberFormat="1" applyFont="1" applyFill="1" applyBorder="1" applyAlignment="1">
      <alignment horizontal="center"/>
    </xf>
    <xf numFmtId="9" fontId="3" fillId="0" borderId="5" xfId="2" applyFont="1" applyBorder="1" applyAlignment="1">
      <alignment horizontal="center"/>
    </xf>
    <xf numFmtId="9" fontId="3" fillId="0" borderId="5" xfId="2" applyFont="1" applyFill="1" applyBorder="1" applyAlignment="1">
      <alignment horizontal="center"/>
    </xf>
    <xf numFmtId="168" fontId="63" fillId="10" borderId="18" xfId="0" applyNumberFormat="1" applyFont="1" applyFill="1" applyBorder="1" applyAlignment="1">
      <alignment horizontal="center"/>
    </xf>
    <xf numFmtId="168" fontId="20" fillId="3" borderId="0" xfId="0" applyNumberFormat="1" applyFont="1" applyFill="1" applyBorder="1" applyAlignment="1">
      <alignment horizontal="center"/>
    </xf>
    <xf numFmtId="168" fontId="21" fillId="0" borderId="0" xfId="0" applyNumberFormat="1" applyFont="1" applyFill="1" applyBorder="1" applyAlignment="1">
      <alignment horizontal="center"/>
    </xf>
    <xf numFmtId="49" fontId="8" fillId="9" borderId="0" xfId="0" applyNumberFormat="1" applyFont="1" applyFill="1" applyAlignment="1">
      <alignment horizontal="left" vertical="center" wrapText="1"/>
    </xf>
    <xf numFmtId="0" fontId="4" fillId="0" borderId="0" xfId="0" applyFont="1" applyFill="1" applyBorder="1"/>
    <xf numFmtId="181" fontId="13" fillId="0" borderId="0" xfId="0" applyNumberFormat="1" applyFont="1" applyFill="1" applyBorder="1" applyAlignment="1">
      <alignment horizontal="center"/>
    </xf>
    <xf numFmtId="0" fontId="12" fillId="0" borderId="0" xfId="0" applyFont="1" applyFill="1" applyAlignment="1">
      <alignment wrapText="1"/>
    </xf>
    <xf numFmtId="0" fontId="3" fillId="0" borderId="0" xfId="0" applyFont="1" applyFill="1" applyAlignment="1"/>
    <xf numFmtId="0" fontId="3" fillId="19" borderId="0" xfId="0" applyFont="1" applyFill="1"/>
    <xf numFmtId="181" fontId="3" fillId="19" borderId="0" xfId="0" applyNumberFormat="1" applyFont="1" applyFill="1" applyBorder="1" applyAlignment="1">
      <alignment horizontal="center"/>
    </xf>
    <xf numFmtId="0" fontId="3" fillId="19" borderId="0" xfId="0" applyFont="1" applyFill="1" applyBorder="1" applyAlignment="1">
      <alignment horizontal="center"/>
    </xf>
    <xf numFmtId="0" fontId="90" fillId="18" borderId="0" xfId="0" applyFont="1" applyFill="1" applyBorder="1" applyAlignment="1">
      <alignment horizontal="center"/>
    </xf>
    <xf numFmtId="0" fontId="3" fillId="0" borderId="0" xfId="0" applyFont="1" applyBorder="1" applyAlignment="1">
      <alignment horizontal="left"/>
    </xf>
    <xf numFmtId="0" fontId="89" fillId="0" borderId="0" xfId="0" applyFont="1" applyFill="1" applyBorder="1"/>
    <xf numFmtId="0" fontId="91" fillId="0" borderId="0" xfId="0" applyFont="1" applyFill="1" applyBorder="1"/>
    <xf numFmtId="0" fontId="89" fillId="0" borderId="0" xfId="0" applyFont="1" applyFill="1" applyBorder="1" applyAlignment="1">
      <alignment horizontal="center"/>
    </xf>
    <xf numFmtId="166" fontId="5" fillId="0" borderId="0" xfId="0" applyNumberFormat="1" applyFont="1" applyFill="1" applyBorder="1" applyAlignment="1">
      <alignment horizontal="center"/>
    </xf>
    <xf numFmtId="0" fontId="57" fillId="14" borderId="5" xfId="0" applyFont="1" applyFill="1" applyBorder="1"/>
    <xf numFmtId="174" fontId="0" fillId="0" borderId="0" xfId="0" applyNumberFormat="1" applyFill="1" applyAlignment="1">
      <alignment horizontal="center"/>
    </xf>
    <xf numFmtId="49" fontId="3" fillId="9" borderId="0" xfId="0" applyNumberFormat="1" applyFont="1" applyFill="1" applyAlignment="1">
      <alignment horizontal="left" vertical="center" wrapText="1"/>
    </xf>
    <xf numFmtId="0" fontId="3" fillId="20" borderId="0" xfId="0" applyFont="1" applyFill="1" applyBorder="1"/>
    <xf numFmtId="3" fontId="84" fillId="0" borderId="0" xfId="0" applyNumberFormat="1" applyFont="1" applyFill="1" applyAlignment="1">
      <alignment horizontal="center"/>
    </xf>
    <xf numFmtId="0" fontId="84" fillId="0" borderId="0" xfId="0" applyFont="1" applyFill="1" applyAlignment="1">
      <alignment horizontal="center"/>
    </xf>
    <xf numFmtId="0" fontId="84" fillId="0" borderId="0" xfId="0" applyFont="1" applyFill="1" applyBorder="1" applyAlignment="1">
      <alignment horizontal="left"/>
    </xf>
    <xf numFmtId="0" fontId="84" fillId="0" borderId="0" xfId="0" applyFont="1"/>
    <xf numFmtId="0" fontId="84" fillId="0" borderId="0" xfId="0" applyFont="1" applyFill="1"/>
    <xf numFmtId="0" fontId="84" fillId="0" borderId="0" xfId="0" applyFont="1" applyFill="1" applyBorder="1"/>
    <xf numFmtId="167" fontId="84" fillId="0" borderId="0" xfId="0" applyNumberFormat="1" applyFont="1" applyFill="1" applyAlignment="1">
      <alignment horizontal="center"/>
    </xf>
    <xf numFmtId="0" fontId="95" fillId="0" borderId="0" xfId="0" applyFont="1" applyFill="1" applyAlignment="1">
      <alignment horizontal="center"/>
    </xf>
    <xf numFmtId="167" fontId="96" fillId="0" borderId="0" xfId="0" applyNumberFormat="1" applyFont="1" applyFill="1" applyAlignment="1">
      <alignment horizontal="center"/>
    </xf>
    <xf numFmtId="0" fontId="97" fillId="10" borderId="0" xfId="0" applyFont="1" applyFill="1" applyAlignment="1">
      <alignment horizontal="center"/>
    </xf>
    <xf numFmtId="169" fontId="97" fillId="10" borderId="0" xfId="0" applyNumberFormat="1" applyFont="1" applyFill="1"/>
    <xf numFmtId="0" fontId="95" fillId="0" borderId="0" xfId="0" applyFont="1" applyBorder="1" applyAlignment="1">
      <alignment horizontal="left"/>
    </xf>
    <xf numFmtId="0" fontId="98" fillId="0" borderId="0" xfId="0" applyFont="1" applyFill="1"/>
    <xf numFmtId="168" fontId="93" fillId="0" borderId="0" xfId="0" applyNumberFormat="1" applyFont="1" applyFill="1" applyAlignment="1">
      <alignment horizontal="center"/>
    </xf>
    <xf numFmtId="9" fontId="84" fillId="0" borderId="0" xfId="2" applyFont="1" applyBorder="1" applyAlignment="1">
      <alignment horizontal="left"/>
    </xf>
    <xf numFmtId="4" fontId="3" fillId="0" borderId="0" xfId="0" applyNumberFormat="1" applyFont="1" applyFill="1" applyAlignment="1">
      <alignment horizontal="center"/>
    </xf>
    <xf numFmtId="168" fontId="0" fillId="12" borderId="0" xfId="0" applyNumberFormat="1" applyFill="1" applyAlignment="1">
      <alignment horizontal="center"/>
    </xf>
    <xf numFmtId="168" fontId="0" fillId="12" borderId="1" xfId="0" applyNumberFormat="1" applyFill="1" applyBorder="1" applyAlignment="1">
      <alignment horizontal="center"/>
    </xf>
    <xf numFmtId="166" fontId="84" fillId="3" borderId="0" xfId="0" applyNumberFormat="1" applyFont="1" applyFill="1" applyAlignment="1">
      <alignment horizontal="center"/>
    </xf>
    <xf numFmtId="192" fontId="0" fillId="12" borderId="0" xfId="0" applyNumberFormat="1" applyFill="1" applyAlignment="1">
      <alignment horizontal="center"/>
    </xf>
    <xf numFmtId="192" fontId="0" fillId="12" borderId="1" xfId="0" applyNumberFormat="1" applyFill="1" applyBorder="1" applyAlignment="1">
      <alignment horizontal="center"/>
    </xf>
    <xf numFmtId="166" fontId="1" fillId="2" borderId="1" xfId="0" applyNumberFormat="1" applyFont="1" applyFill="1" applyBorder="1" applyAlignment="1">
      <alignment horizontal="center"/>
    </xf>
    <xf numFmtId="167" fontId="1" fillId="2" borderId="1" xfId="0" applyNumberFormat="1" applyFont="1" applyFill="1" applyBorder="1" applyAlignment="1">
      <alignment horizontal="center"/>
    </xf>
    <xf numFmtId="0" fontId="0" fillId="0" borderId="0" xfId="0" applyFill="1" applyAlignment="1">
      <alignment horizontal="right"/>
    </xf>
    <xf numFmtId="49" fontId="12" fillId="0" borderId="0" xfId="0" applyNumberFormat="1" applyFont="1" applyAlignment="1">
      <alignment vertical="top" wrapText="1"/>
    </xf>
    <xf numFmtId="49" fontId="0" fillId="0" borderId="0" xfId="0" applyNumberFormat="1" applyAlignment="1">
      <alignment vertical="top" wrapText="1"/>
    </xf>
    <xf numFmtId="166" fontId="84" fillId="0" borderId="0" xfId="0" applyNumberFormat="1" applyFont="1" applyFill="1"/>
    <xf numFmtId="0" fontId="26" fillId="0" borderId="0" xfId="0" applyFont="1" applyFill="1"/>
    <xf numFmtId="192" fontId="26" fillId="0" borderId="0" xfId="0" applyNumberFormat="1" applyFont="1" applyFill="1" applyBorder="1" applyAlignment="1">
      <alignment horizontal="center"/>
    </xf>
    <xf numFmtId="9" fontId="46" fillId="0" borderId="0" xfId="2" applyFont="1" applyFill="1" applyAlignment="1">
      <alignment horizontal="center"/>
    </xf>
    <xf numFmtId="0" fontId="1" fillId="10" borderId="0" xfId="0" applyFont="1" applyFill="1"/>
    <xf numFmtId="192" fontId="14" fillId="0" borderId="0" xfId="0" applyNumberFormat="1" applyFont="1" applyFill="1" applyBorder="1" applyAlignment="1">
      <alignment horizontal="center"/>
    </xf>
    <xf numFmtId="9" fontId="18" fillId="0" borderId="0" xfId="2" applyFont="1" applyFill="1" applyAlignment="1">
      <alignment horizontal="center"/>
    </xf>
    <xf numFmtId="0" fontId="42" fillId="0" borderId="0" xfId="0" applyFont="1" applyFill="1"/>
    <xf numFmtId="192" fontId="1" fillId="0" borderId="0" xfId="0" applyNumberFormat="1" applyFont="1" applyAlignment="1">
      <alignment horizontal="center"/>
    </xf>
    <xf numFmtId="9" fontId="3" fillId="0" borderId="0" xfId="2" applyFont="1" applyAlignment="1">
      <alignment horizontal="center"/>
    </xf>
    <xf numFmtId="168" fontId="0" fillId="0" borderId="1" xfId="0" applyNumberFormat="1" applyBorder="1"/>
    <xf numFmtId="168" fontId="23" fillId="10" borderId="26" xfId="0" applyNumberFormat="1" applyFont="1" applyFill="1" applyBorder="1" applyAlignment="1">
      <alignment horizontal="center"/>
    </xf>
    <xf numFmtId="168" fontId="23" fillId="10" borderId="25" xfId="0" applyNumberFormat="1" applyFont="1" applyFill="1" applyBorder="1" applyAlignment="1">
      <alignment horizontal="center"/>
    </xf>
    <xf numFmtId="9" fontId="27" fillId="10" borderId="0" xfId="2" applyFont="1" applyFill="1" applyAlignment="1">
      <alignment horizontal="center"/>
    </xf>
    <xf numFmtId="1" fontId="27" fillId="10" borderId="0" xfId="0" applyNumberFormat="1" applyFont="1" applyFill="1" applyAlignment="1">
      <alignment horizontal="center"/>
    </xf>
    <xf numFmtId="168" fontId="23" fillId="10" borderId="0" xfId="0" applyNumberFormat="1" applyFont="1" applyFill="1" applyAlignment="1">
      <alignment horizontal="center"/>
    </xf>
    <xf numFmtId="166" fontId="46" fillId="0" borderId="0" xfId="0" applyNumberFormat="1" applyFont="1" applyFill="1" applyAlignment="1">
      <alignment horizontal="center"/>
    </xf>
    <xf numFmtId="167" fontId="46" fillId="0" borderId="0" xfId="0" applyNumberFormat="1" applyFont="1" applyFill="1" applyAlignment="1">
      <alignment horizontal="center"/>
    </xf>
    <xf numFmtId="168" fontId="34" fillId="10" borderId="25" xfId="0" applyNumberFormat="1" applyFont="1" applyFill="1" applyBorder="1" applyAlignment="1">
      <alignment horizontal="center"/>
    </xf>
    <xf numFmtId="168" fontId="26" fillId="0" borderId="0" xfId="0" applyNumberFormat="1" applyFont="1" applyFill="1" applyBorder="1" applyAlignment="1">
      <alignment horizontal="center"/>
    </xf>
    <xf numFmtId="0" fontId="35" fillId="0" borderId="0" xfId="0" applyFont="1" applyFill="1"/>
    <xf numFmtId="166" fontId="35" fillId="0" borderId="0" xfId="0" applyNumberFormat="1" applyFont="1" applyFill="1" applyAlignment="1">
      <alignment horizontal="center"/>
    </xf>
    <xf numFmtId="167" fontId="35" fillId="0" borderId="0" xfId="0" applyNumberFormat="1" applyFont="1" applyFill="1" applyAlignment="1">
      <alignment horizontal="center"/>
    </xf>
    <xf numFmtId="168" fontId="34" fillId="0" borderId="0" xfId="0" applyNumberFormat="1" applyFont="1" applyFill="1" applyBorder="1" applyAlignment="1">
      <alignment horizontal="center"/>
    </xf>
    <xf numFmtId="0" fontId="7" fillId="10" borderId="0" xfId="0" applyFont="1" applyFill="1" applyBorder="1"/>
    <xf numFmtId="192" fontId="34" fillId="10" borderId="12" xfId="0" applyNumberFormat="1" applyFont="1" applyFill="1" applyBorder="1" applyAlignment="1">
      <alignment horizontal="center"/>
    </xf>
    <xf numFmtId="9" fontId="35" fillId="10" borderId="0" xfId="2" applyFont="1" applyFill="1" applyAlignment="1">
      <alignment horizontal="center"/>
    </xf>
    <xf numFmtId="168" fontId="34" fillId="10" borderId="43" xfId="0" applyNumberFormat="1" applyFont="1" applyFill="1" applyBorder="1" applyAlignment="1">
      <alignment horizontal="center"/>
    </xf>
    <xf numFmtId="168" fontId="57" fillId="0" borderId="0" xfId="0" applyNumberFormat="1" applyFont="1" applyFill="1" applyAlignment="1">
      <alignment horizontal="center"/>
    </xf>
    <xf numFmtId="168" fontId="34" fillId="10" borderId="26" xfId="0" applyNumberFormat="1" applyFont="1" applyFill="1" applyBorder="1" applyAlignment="1">
      <alignment horizontal="center"/>
    </xf>
    <xf numFmtId="192" fontId="3" fillId="3" borderId="0" xfId="0" applyNumberFormat="1" applyFont="1" applyFill="1" applyAlignment="1">
      <alignment horizontal="center"/>
    </xf>
    <xf numFmtId="9" fontId="1" fillId="0" borderId="0" xfId="2" applyFont="1" applyAlignment="1">
      <alignment horizontal="center"/>
    </xf>
    <xf numFmtId="9" fontId="42" fillId="0" borderId="5" xfId="2" applyFont="1" applyFill="1" applyBorder="1" applyAlignment="1">
      <alignment horizontal="center"/>
    </xf>
    <xf numFmtId="209" fontId="3" fillId="0" borderId="0" xfId="0" applyNumberFormat="1" applyFont="1" applyFill="1" applyAlignment="1">
      <alignment horizontal="center"/>
    </xf>
    <xf numFmtId="181" fontId="3" fillId="0" borderId="0" xfId="0" applyNumberFormat="1" applyFont="1" applyFill="1"/>
    <xf numFmtId="192" fontId="5" fillId="0" borderId="0" xfId="0" applyNumberFormat="1" applyFont="1" applyFill="1" applyAlignment="1">
      <alignment horizontal="center"/>
    </xf>
    <xf numFmtId="9" fontId="93" fillId="0" borderId="5" xfId="2" applyFont="1" applyFill="1" applyBorder="1" applyAlignment="1">
      <alignment horizontal="center"/>
    </xf>
    <xf numFmtId="0" fontId="99" fillId="10" borderId="0" xfId="0" applyFont="1" applyFill="1"/>
    <xf numFmtId="166" fontId="57" fillId="0" borderId="0" xfId="0" applyNumberFormat="1" applyFont="1" applyFill="1"/>
    <xf numFmtId="167" fontId="57" fillId="0" borderId="0" xfId="0" applyNumberFormat="1" applyFont="1" applyFill="1"/>
    <xf numFmtId="168" fontId="57" fillId="0" borderId="4" xfId="0" applyNumberFormat="1" applyFont="1" applyFill="1" applyBorder="1" applyAlignment="1">
      <alignment horizontal="center"/>
    </xf>
    <xf numFmtId="205" fontId="90" fillId="10" borderId="0" xfId="2" applyNumberFormat="1" applyFont="1" applyFill="1" applyAlignment="1">
      <alignment horizontal="center"/>
    </xf>
    <xf numFmtId="0" fontId="99" fillId="0" borderId="0" xfId="0" applyFont="1" applyFill="1"/>
    <xf numFmtId="205" fontId="90" fillId="0" borderId="0" xfId="2" applyNumberFormat="1" applyFont="1" applyFill="1" applyAlignment="1">
      <alignment horizontal="center"/>
    </xf>
    <xf numFmtId="9" fontId="89" fillId="10" borderId="0" xfId="2" applyFont="1" applyFill="1" applyAlignment="1">
      <alignment horizontal="center"/>
    </xf>
    <xf numFmtId="192" fontId="3" fillId="0" borderId="0" xfId="0" applyNumberFormat="1" applyFont="1" applyFill="1" applyBorder="1" applyAlignment="1">
      <alignment horizontal="center"/>
    </xf>
    <xf numFmtId="0" fontId="92" fillId="0" borderId="0" xfId="0" applyFont="1" applyFill="1" applyBorder="1"/>
    <xf numFmtId="0" fontId="0" fillId="12" borderId="0" xfId="0" applyFill="1" applyAlignment="1">
      <alignment horizontal="center"/>
    </xf>
    <xf numFmtId="168" fontId="3" fillId="0" borderId="0" xfId="0" applyNumberFormat="1" applyFont="1" applyBorder="1" applyAlignment="1">
      <alignment horizontal="center"/>
    </xf>
    <xf numFmtId="185" fontId="13" fillId="12" borderId="0" xfId="0" applyNumberFormat="1" applyFont="1" applyFill="1" applyAlignment="1">
      <alignment horizontal="center"/>
    </xf>
    <xf numFmtId="0" fontId="0" fillId="0" borderId="0" xfId="0" applyAlignment="1">
      <alignment horizontal="right"/>
    </xf>
    <xf numFmtId="0" fontId="0" fillId="0" borderId="0" xfId="0" applyFill="1" applyAlignment="1">
      <alignment horizontal="right"/>
    </xf>
    <xf numFmtId="166" fontId="84" fillId="0" borderId="0" xfId="2" applyNumberFormat="1" applyFont="1" applyFill="1" applyAlignment="1">
      <alignment horizontal="center"/>
    </xf>
    <xf numFmtId="3" fontId="3" fillId="0" borderId="0" xfId="0" applyNumberFormat="1" applyFont="1" applyFill="1" applyAlignment="1">
      <alignment horizontal="center"/>
    </xf>
    <xf numFmtId="192" fontId="13" fillId="0" borderId="0" xfId="0" applyNumberFormat="1" applyFont="1" applyBorder="1" applyAlignment="1">
      <alignment horizontal="center"/>
    </xf>
    <xf numFmtId="185" fontId="3" fillId="0" borderId="0" xfId="0" applyNumberFormat="1" applyFont="1" applyFill="1" applyAlignment="1">
      <alignment horizontal="center"/>
    </xf>
    <xf numFmtId="9" fontId="1" fillId="0" borderId="5" xfId="2" applyFont="1" applyBorder="1" applyAlignment="1">
      <alignment horizontal="center"/>
    </xf>
    <xf numFmtId="9" fontId="1" fillId="0" borderId="5" xfId="2" applyFont="1" applyFill="1" applyBorder="1" applyAlignment="1">
      <alignment horizontal="center"/>
    </xf>
    <xf numFmtId="197" fontId="57" fillId="3" borderId="0" xfId="0" applyNumberFormat="1" applyFont="1" applyFill="1" applyAlignment="1">
      <alignment horizontal="center"/>
    </xf>
    <xf numFmtId="167" fontId="1" fillId="2" borderId="0" xfId="0" applyNumberFormat="1" applyFont="1" applyFill="1" applyBorder="1" applyAlignment="1">
      <alignment horizontal="center"/>
    </xf>
    <xf numFmtId="197" fontId="57" fillId="3" borderId="23" xfId="0" applyNumberFormat="1" applyFont="1" applyFill="1" applyBorder="1" applyAlignment="1">
      <alignment horizontal="center"/>
    </xf>
    <xf numFmtId="197" fontId="57" fillId="3" borderId="21" xfId="0" applyNumberFormat="1" applyFont="1" applyFill="1" applyBorder="1" applyAlignment="1">
      <alignment horizontal="center"/>
    </xf>
    <xf numFmtId="174" fontId="3" fillId="0" borderId="0" xfId="0" applyNumberFormat="1" applyFont="1" applyFill="1" applyAlignment="1">
      <alignment horizontal="center"/>
    </xf>
    <xf numFmtId="0" fontId="3" fillId="0" borderId="1" xfId="0" applyFont="1" applyFill="1" applyBorder="1" applyAlignment="1">
      <alignment horizontal="center"/>
    </xf>
    <xf numFmtId="2" fontId="13" fillId="0" borderId="0" xfId="0" applyNumberFormat="1" applyFont="1" applyFill="1" applyBorder="1" applyAlignment="1">
      <alignment horizontal="right"/>
    </xf>
    <xf numFmtId="0" fontId="89" fillId="0" borderId="0" xfId="0" applyFont="1" applyFill="1" applyBorder="1" applyAlignment="1">
      <alignment horizontal="right"/>
    </xf>
    <xf numFmtId="0" fontId="91" fillId="0" borderId="0" xfId="0" applyFont="1" applyFill="1" applyBorder="1" applyAlignment="1">
      <alignment horizontal="right"/>
    </xf>
    <xf numFmtId="2" fontId="13" fillId="0" borderId="1" xfId="0" applyNumberFormat="1" applyFont="1" applyFill="1" applyBorder="1" applyAlignment="1">
      <alignment horizontal="center"/>
    </xf>
    <xf numFmtId="2" fontId="13" fillId="0" borderId="44" xfId="0" applyNumberFormat="1" applyFont="1" applyFill="1" applyBorder="1" applyAlignment="1">
      <alignment horizontal="center"/>
    </xf>
    <xf numFmtId="2" fontId="12" fillId="0" borderId="1" xfId="0" applyNumberFormat="1" applyFont="1" applyFill="1" applyBorder="1" applyAlignment="1">
      <alignment wrapText="1"/>
    </xf>
    <xf numFmtId="0" fontId="0" fillId="0" borderId="0" xfId="0" applyBorder="1" applyAlignment="1">
      <alignment horizontal="left" vertical="top"/>
    </xf>
    <xf numFmtId="0" fontId="84" fillId="0" borderId="0" xfId="0" applyFont="1" applyAlignment="1">
      <alignment horizontal="center"/>
    </xf>
    <xf numFmtId="177" fontId="3" fillId="3" borderId="0" xfId="0" applyNumberFormat="1" applyFont="1" applyFill="1" applyAlignment="1">
      <alignment horizontal="center"/>
    </xf>
    <xf numFmtId="0" fontId="3" fillId="0" borderId="0" xfId="0" applyFont="1" applyFill="1" applyAlignment="1">
      <alignment horizontal="center" wrapText="1"/>
    </xf>
    <xf numFmtId="0" fontId="57" fillId="0" borderId="0" xfId="0" applyFont="1" applyFill="1" applyBorder="1" applyAlignment="1"/>
    <xf numFmtId="0" fontId="57" fillId="9" borderId="0" xfId="0" applyFont="1" applyFill="1" applyBorder="1" applyAlignment="1">
      <alignment horizontal="left" vertical="center" wrapText="1"/>
    </xf>
    <xf numFmtId="0" fontId="0" fillId="0" borderId="0" xfId="0" applyBorder="1" applyAlignment="1">
      <alignment horizontal="left" vertical="top"/>
    </xf>
    <xf numFmtId="209" fontId="3" fillId="12" borderId="0" xfId="0" applyNumberFormat="1" applyFont="1" applyFill="1" applyAlignment="1">
      <alignment horizontal="center"/>
    </xf>
    <xf numFmtId="2" fontId="3" fillId="0" borderId="0" xfId="0" applyNumberFormat="1" applyFont="1" applyFill="1" applyAlignment="1">
      <alignment horizontal="center"/>
    </xf>
    <xf numFmtId="0" fontId="3" fillId="0" borderId="0" xfId="0" applyFont="1" applyAlignment="1">
      <alignment horizontal="left"/>
    </xf>
    <xf numFmtId="0" fontId="3" fillId="12" borderId="0" xfId="0" applyFont="1" applyFill="1" applyAlignment="1">
      <alignment horizontal="center"/>
    </xf>
    <xf numFmtId="1" fontId="3" fillId="0" borderId="4" xfId="0" applyNumberFormat="1" applyFont="1" applyBorder="1" applyAlignment="1">
      <alignment horizontal="center"/>
    </xf>
    <xf numFmtId="166" fontId="3" fillId="12" borderId="0" xfId="0" applyNumberFormat="1" applyFont="1" applyFill="1" applyAlignment="1">
      <alignment horizontal="center"/>
    </xf>
    <xf numFmtId="1" fontId="3" fillId="0" borderId="0" xfId="0" applyNumberFormat="1" applyFont="1" applyFill="1" applyAlignment="1">
      <alignment horizontal="center"/>
    </xf>
    <xf numFmtId="1" fontId="13" fillId="0" borderId="1" xfId="0" applyNumberFormat="1" applyFont="1" applyBorder="1" applyAlignment="1">
      <alignment horizontal="center"/>
    </xf>
    <xf numFmtId="1" fontId="0" fillId="0" borderId="0" xfId="0" applyNumberFormat="1" applyAlignment="1">
      <alignment horizontal="center"/>
    </xf>
    <xf numFmtId="0" fontId="0" fillId="0" borderId="0" xfId="0" applyAlignment="1">
      <alignment horizontal="right"/>
    </xf>
    <xf numFmtId="0" fontId="0" fillId="0" borderId="0" xfId="0" applyFill="1" applyAlignment="1">
      <alignment horizontal="right"/>
    </xf>
    <xf numFmtId="49" fontId="12" fillId="0" borderId="0" xfId="0" applyNumberFormat="1" applyFont="1" applyAlignment="1">
      <alignment vertical="top" wrapText="1"/>
    </xf>
    <xf numFmtId="49" fontId="0" fillId="0" borderId="0" xfId="0" applyNumberFormat="1" applyAlignment="1">
      <alignment vertical="top" wrapText="1"/>
    </xf>
    <xf numFmtId="3"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3" fontId="3" fillId="0" borderId="0" xfId="0" applyNumberFormat="1" applyFont="1" applyBorder="1" applyAlignment="1">
      <alignment horizontal="center"/>
    </xf>
    <xf numFmtId="167" fontId="3" fillId="0" borderId="0" xfId="0" applyNumberFormat="1" applyFont="1" applyBorder="1" applyAlignment="1">
      <alignment horizontal="center"/>
    </xf>
    <xf numFmtId="1" fontId="3" fillId="0" borderId="1" xfId="0" applyNumberFormat="1" applyFont="1" applyBorder="1" applyAlignment="1">
      <alignment horizontal="center"/>
    </xf>
    <xf numFmtId="168" fontId="3" fillId="0" borderId="1" xfId="0" applyNumberFormat="1" applyFont="1" applyBorder="1" applyAlignment="1">
      <alignment horizontal="center"/>
    </xf>
    <xf numFmtId="168" fontId="3" fillId="0" borderId="0" xfId="0" applyNumberFormat="1" applyFont="1" applyFill="1" applyAlignment="1">
      <alignment horizontal="center"/>
    </xf>
    <xf numFmtId="168" fontId="3" fillId="2" borderId="1" xfId="0" applyNumberFormat="1" applyFont="1" applyFill="1" applyBorder="1" applyAlignment="1">
      <alignment horizontal="center"/>
    </xf>
    <xf numFmtId="1" fontId="1" fillId="0" borderId="0" xfId="0" applyNumberFormat="1" applyFont="1" applyAlignment="1">
      <alignment horizontal="center"/>
    </xf>
    <xf numFmtId="223" fontId="34" fillId="10" borderId="18" xfId="0" applyNumberFormat="1" applyFont="1" applyFill="1" applyBorder="1" applyAlignment="1">
      <alignment horizontal="center"/>
    </xf>
    <xf numFmtId="0" fontId="84" fillId="0" borderId="10" xfId="0" applyFont="1" applyBorder="1" applyAlignment="1">
      <alignment vertical="center" wrapText="1"/>
    </xf>
    <xf numFmtId="1" fontId="84" fillId="0" borderId="37" xfId="0" applyNumberFormat="1" applyFont="1" applyBorder="1" applyAlignment="1">
      <alignment horizontal="center"/>
    </xf>
    <xf numFmtId="0" fontId="84" fillId="0" borderId="4" xfId="0" applyFont="1" applyBorder="1"/>
    <xf numFmtId="1" fontId="84" fillId="0" borderId="38" xfId="0" applyNumberFormat="1" applyFont="1" applyBorder="1" applyAlignment="1">
      <alignment horizontal="center"/>
    </xf>
    <xf numFmtId="1" fontId="3" fillId="14" borderId="0" xfId="0" applyNumberFormat="1" applyFont="1" applyFill="1" applyAlignment="1">
      <alignment horizontal="center"/>
    </xf>
    <xf numFmtId="3" fontId="3" fillId="14" borderId="0" xfId="0" applyNumberFormat="1" applyFont="1" applyFill="1" applyAlignment="1">
      <alignment horizontal="center"/>
    </xf>
    <xf numFmtId="182" fontId="1" fillId="14" borderId="0" xfId="0" applyNumberFormat="1" applyFont="1" applyFill="1" applyAlignment="1">
      <alignment horizontal="center"/>
    </xf>
    <xf numFmtId="166" fontId="3" fillId="14" borderId="0" xfId="0" applyNumberFormat="1" applyFont="1" applyFill="1" applyAlignment="1">
      <alignment horizontal="center"/>
    </xf>
    <xf numFmtId="178" fontId="3" fillId="12" borderId="34" xfId="0" applyNumberFormat="1" applyFont="1" applyFill="1" applyBorder="1" applyAlignment="1" applyProtection="1">
      <alignment horizontal="center"/>
      <protection locked="0"/>
    </xf>
    <xf numFmtId="9" fontId="3" fillId="12" borderId="34" xfId="2" applyFont="1" applyFill="1" applyBorder="1" applyAlignment="1">
      <alignment horizontal="center"/>
    </xf>
    <xf numFmtId="179" fontId="12" fillId="12" borderId="34" xfId="0" applyNumberFormat="1" applyFont="1" applyFill="1" applyBorder="1" applyAlignment="1" applyProtection="1">
      <alignment horizontal="center" vertical="center"/>
      <protection locked="0"/>
    </xf>
    <xf numFmtId="0" fontId="12" fillId="12" borderId="34" xfId="0" applyFont="1" applyFill="1" applyBorder="1"/>
    <xf numFmtId="213" fontId="3" fillId="12" borderId="34" xfId="0" applyNumberFormat="1" applyFont="1" applyFill="1" applyBorder="1" applyAlignment="1" applyProtection="1">
      <alignment horizontal="center" vertical="center"/>
      <protection locked="0"/>
    </xf>
    <xf numFmtId="177" fontId="3" fillId="12" borderId="34" xfId="0" applyNumberFormat="1" applyFont="1" applyFill="1" applyBorder="1" applyAlignment="1" applyProtection="1">
      <alignment horizontal="center" vertical="center"/>
      <protection locked="0"/>
    </xf>
    <xf numFmtId="167" fontId="12" fillId="12" borderId="34" xfId="0" applyNumberFormat="1" applyFont="1" applyFill="1" applyBorder="1" applyAlignment="1" applyProtection="1">
      <alignment horizontal="center" vertical="center"/>
      <protection locked="0"/>
    </xf>
    <xf numFmtId="9" fontId="12" fillId="12" borderId="34" xfId="2" applyNumberFormat="1" applyFont="1" applyFill="1" applyBorder="1" applyAlignment="1" applyProtection="1">
      <alignment horizontal="center" vertical="center"/>
      <protection locked="0"/>
    </xf>
    <xf numFmtId="3" fontId="3" fillId="12" borderId="34" xfId="0" applyNumberFormat="1" applyFont="1" applyFill="1" applyBorder="1" applyAlignment="1" applyProtection="1">
      <alignment horizontal="center" vertical="center"/>
      <protection locked="0"/>
    </xf>
    <xf numFmtId="167" fontId="3" fillId="12" borderId="34" xfId="0" applyNumberFormat="1" applyFont="1" applyFill="1" applyBorder="1" applyAlignment="1" applyProtection="1">
      <alignment horizontal="center" vertical="center"/>
      <protection locked="0"/>
    </xf>
    <xf numFmtId="0" fontId="12" fillId="12" borderId="34" xfId="0" applyFont="1" applyFill="1" applyBorder="1" applyAlignment="1">
      <alignment horizontal="center" vertical="center"/>
    </xf>
    <xf numFmtId="192" fontId="3" fillId="12" borderId="34" xfId="0" applyNumberFormat="1" applyFont="1" applyFill="1" applyBorder="1" applyAlignment="1">
      <alignment horizontal="center" vertical="center"/>
    </xf>
    <xf numFmtId="0" fontId="3" fillId="12" borderId="34" xfId="0" applyNumberFormat="1" applyFont="1" applyFill="1" applyBorder="1" applyAlignment="1">
      <alignment horizontal="center" vertical="center"/>
    </xf>
    <xf numFmtId="178" fontId="3" fillId="12" borderId="34" xfId="0" applyNumberFormat="1" applyFont="1" applyFill="1" applyBorder="1" applyAlignment="1">
      <alignment horizontal="center" vertical="center"/>
    </xf>
    <xf numFmtId="173" fontId="3" fillId="12" borderId="38" xfId="2" applyNumberFormat="1" applyFont="1" applyFill="1" applyBorder="1" applyAlignment="1" applyProtection="1">
      <alignment horizontal="center" vertical="center"/>
      <protection locked="0"/>
    </xf>
    <xf numFmtId="166" fontId="1" fillId="14" borderId="0" xfId="0" applyNumberFormat="1" applyFont="1" applyFill="1" applyBorder="1" applyAlignment="1">
      <alignment horizontal="center"/>
    </xf>
    <xf numFmtId="216" fontId="1" fillId="0" borderId="4" xfId="0" applyNumberFormat="1" applyFont="1" applyFill="1" applyBorder="1" applyAlignment="1">
      <alignment horizontal="center"/>
    </xf>
    <xf numFmtId="168" fontId="0" fillId="14" borderId="0" xfId="0" applyNumberFormat="1" applyFill="1" applyAlignment="1">
      <alignment horizontal="center"/>
    </xf>
    <xf numFmtId="168" fontId="0" fillId="14" borderId="1" xfId="0" applyNumberFormat="1" applyFill="1" applyBorder="1" applyAlignment="1">
      <alignment horizontal="center"/>
    </xf>
    <xf numFmtId="192" fontId="3" fillId="14" borderId="0" xfId="0" applyNumberFormat="1" applyFont="1" applyFill="1" applyAlignment="1">
      <alignment horizontal="center"/>
    </xf>
    <xf numFmtId="192" fontId="0" fillId="14" borderId="1" xfId="0" applyNumberFormat="1" applyFill="1" applyBorder="1" applyAlignment="1">
      <alignment horizontal="center"/>
    </xf>
    <xf numFmtId="224" fontId="13" fillId="0" borderId="0" xfId="0" applyNumberFormat="1" applyFont="1" applyFill="1" applyAlignment="1">
      <alignment horizontal="center"/>
    </xf>
    <xf numFmtId="3" fontId="0" fillId="14" borderId="0" xfId="0" applyNumberFormat="1" applyFill="1" applyAlignment="1">
      <alignment horizontal="center"/>
    </xf>
    <xf numFmtId="9" fontId="3" fillId="14" borderId="0" xfId="2" applyFill="1" applyAlignment="1">
      <alignment horizontal="center"/>
    </xf>
    <xf numFmtId="213" fontId="0" fillId="14" borderId="0" xfId="0" applyNumberFormat="1" applyFill="1" applyBorder="1" applyAlignment="1">
      <alignment horizontal="center"/>
    </xf>
    <xf numFmtId="0" fontId="1" fillId="0" borderId="13" xfId="0" applyFont="1" applyFill="1" applyBorder="1"/>
    <xf numFmtId="0" fontId="63" fillId="10" borderId="45" xfId="0" applyFont="1" applyFill="1" applyBorder="1"/>
    <xf numFmtId="1" fontId="3" fillId="0" borderId="0" xfId="0" applyNumberFormat="1" applyFont="1" applyAlignment="1">
      <alignment horizontal="center"/>
    </xf>
    <xf numFmtId="0" fontId="13" fillId="0" borderId="1" xfId="0" applyFont="1" applyBorder="1" applyAlignment="1">
      <alignment horizontal="center"/>
    </xf>
    <xf numFmtId="1" fontId="13" fillId="0" borderId="0" xfId="0" applyNumberFormat="1" applyFont="1" applyBorder="1" applyAlignment="1">
      <alignment horizontal="center"/>
    </xf>
    <xf numFmtId="0" fontId="0" fillId="0" borderId="0" xfId="0" applyAlignment="1">
      <alignment horizontal="right"/>
    </xf>
    <xf numFmtId="0" fontId="0" fillId="0" borderId="0" xfId="0" applyFill="1" applyAlignment="1">
      <alignment horizontal="right"/>
    </xf>
    <xf numFmtId="0" fontId="3" fillId="0" borderId="0" xfId="0" applyFont="1" applyAlignment="1">
      <alignment horizontal="center" vertical="center"/>
    </xf>
    <xf numFmtId="180" fontId="1" fillId="0" borderId="0" xfId="0" applyNumberFormat="1" applyFont="1" applyFill="1" applyAlignment="1">
      <alignment horizontal="center"/>
    </xf>
    <xf numFmtId="0" fontId="0" fillId="0" borderId="13" xfId="0" applyBorder="1"/>
    <xf numFmtId="192" fontId="0" fillId="0" borderId="22" xfId="0" applyNumberFormat="1" applyBorder="1" applyAlignment="1">
      <alignment horizontal="center"/>
    </xf>
    <xf numFmtId="9" fontId="1" fillId="0" borderId="0" xfId="2" applyFont="1" applyBorder="1" applyAlignment="1">
      <alignment horizontal="center"/>
    </xf>
    <xf numFmtId="9" fontId="3" fillId="0" borderId="0" xfId="2" applyFont="1" applyBorder="1" applyAlignment="1">
      <alignment horizontal="center"/>
    </xf>
    <xf numFmtId="3" fontId="50" fillId="0" borderId="0" xfId="0" applyNumberFormat="1" applyFont="1" applyBorder="1" applyAlignment="1">
      <alignment horizontal="center"/>
    </xf>
    <xf numFmtId="49" fontId="3" fillId="0" borderId="0" xfId="0" applyNumberFormat="1" applyFont="1" applyBorder="1" applyAlignment="1">
      <alignment wrapText="1"/>
    </xf>
    <xf numFmtId="224" fontId="105" fillId="11" borderId="0" xfId="0" applyNumberFormat="1" applyFont="1" applyFill="1" applyAlignment="1">
      <alignment horizontal="center"/>
    </xf>
    <xf numFmtId="177" fontId="1" fillId="3" borderId="0" xfId="0" applyNumberFormat="1" applyFont="1" applyFill="1" applyAlignment="1">
      <alignment horizontal="center"/>
    </xf>
    <xf numFmtId="182" fontId="1" fillId="3" borderId="0" xfId="0" applyNumberFormat="1" applyFont="1" applyFill="1" applyAlignment="1">
      <alignment horizontal="center"/>
    </xf>
    <xf numFmtId="179" fontId="3" fillId="3" borderId="0" xfId="0" applyNumberFormat="1" applyFont="1" applyFill="1" applyAlignment="1">
      <alignment horizontal="center"/>
    </xf>
    <xf numFmtId="179" fontId="3" fillId="12" borderId="0" xfId="0" applyNumberFormat="1" applyFont="1" applyFill="1" applyAlignment="1">
      <alignment horizontal="center"/>
    </xf>
    <xf numFmtId="0" fontId="3" fillId="3" borderId="0" xfId="0" applyFont="1" applyFill="1" applyAlignment="1">
      <alignment horizontal="center"/>
    </xf>
    <xf numFmtId="1" fontId="3" fillId="3" borderId="0" xfId="0" applyNumberFormat="1" applyFont="1" applyFill="1" applyAlignment="1">
      <alignment horizontal="center"/>
    </xf>
    <xf numFmtId="1" fontId="1" fillId="3" borderId="0" xfId="0" applyNumberFormat="1" applyFont="1" applyFill="1" applyAlignment="1">
      <alignment horizontal="center"/>
    </xf>
    <xf numFmtId="3" fontId="1" fillId="3" borderId="0" xfId="0" applyNumberFormat="1" applyFont="1" applyFill="1" applyAlignment="1">
      <alignment horizontal="center"/>
    </xf>
    <xf numFmtId="0" fontId="1" fillId="3" borderId="0" xfId="0" applyFont="1" applyFill="1" applyAlignment="1">
      <alignment horizontal="center"/>
    </xf>
    <xf numFmtId="3" fontId="3" fillId="3" borderId="0" xfId="0" applyNumberFormat="1" applyFont="1" applyFill="1" applyAlignment="1">
      <alignment horizontal="center"/>
    </xf>
    <xf numFmtId="165" fontId="57" fillId="3" borderId="0" xfId="0" applyNumberFormat="1" applyFont="1" applyFill="1" applyAlignment="1">
      <alignment horizontal="center"/>
    </xf>
    <xf numFmtId="192" fontId="1" fillId="3" borderId="0" xfId="0" applyNumberFormat="1" applyFont="1" applyFill="1" applyBorder="1" applyAlignment="1">
      <alignment horizontal="center"/>
    </xf>
    <xf numFmtId="9" fontId="3" fillId="3" borderId="0" xfId="2" applyFont="1" applyFill="1" applyAlignment="1">
      <alignment horizontal="center"/>
    </xf>
    <xf numFmtId="213" fontId="3" fillId="3" borderId="0" xfId="0" applyNumberFormat="1" applyFont="1" applyFill="1" applyBorder="1" applyAlignment="1">
      <alignment horizontal="center"/>
    </xf>
    <xf numFmtId="0" fontId="54" fillId="10" borderId="0" xfId="0" applyFont="1" applyFill="1" applyAlignment="1">
      <alignment horizontal="center"/>
    </xf>
    <xf numFmtId="169" fontId="54" fillId="10" borderId="0" xfId="0" applyNumberFormat="1" applyFont="1" applyFill="1"/>
    <xf numFmtId="2" fontId="54" fillId="10" borderId="0" xfId="0" applyNumberFormat="1" applyFont="1" applyFill="1" applyBorder="1"/>
    <xf numFmtId="0" fontId="1" fillId="2" borderId="0" xfId="0" applyFont="1" applyFill="1" applyAlignment="1">
      <alignment horizontal="center"/>
    </xf>
    <xf numFmtId="167" fontId="3" fillId="3" borderId="0" xfId="0" applyNumberFormat="1" applyFont="1" applyFill="1" applyAlignment="1">
      <alignment horizontal="center"/>
    </xf>
    <xf numFmtId="3" fontId="3" fillId="12" borderId="0" xfId="0" applyNumberFormat="1" applyFont="1" applyFill="1" applyAlignment="1">
      <alignment horizontal="center"/>
    </xf>
    <xf numFmtId="167" fontId="3" fillId="0" borderId="0" xfId="0" applyNumberFormat="1" applyFont="1" applyFill="1" applyAlignment="1">
      <alignment horizontal="center"/>
    </xf>
    <xf numFmtId="170" fontId="3" fillId="0" borderId="0" xfId="0" applyNumberFormat="1" applyFont="1" applyFill="1" applyAlignment="1">
      <alignment horizontal="center"/>
    </xf>
    <xf numFmtId="170" fontId="3" fillId="3" borderId="0" xfId="0" applyNumberFormat="1" applyFont="1" applyFill="1" applyAlignment="1">
      <alignment horizontal="center"/>
    </xf>
    <xf numFmtId="199" fontId="3" fillId="0" borderId="0" xfId="0" applyNumberFormat="1" applyFont="1" applyFill="1" applyAlignment="1">
      <alignment horizontal="right"/>
    </xf>
    <xf numFmtId="166" fontId="3" fillId="0" borderId="0" xfId="0" applyNumberFormat="1" applyFont="1" applyFill="1" applyAlignment="1">
      <alignment horizontal="center"/>
    </xf>
    <xf numFmtId="181" fontId="3" fillId="0" borderId="0" xfId="0" applyNumberFormat="1" applyFont="1" applyFill="1" applyAlignment="1">
      <alignment horizontal="center"/>
    </xf>
    <xf numFmtId="193" fontId="3" fillId="0" borderId="0" xfId="0" applyNumberFormat="1" applyFont="1" applyFill="1" applyAlignment="1">
      <alignment horizontal="center"/>
    </xf>
    <xf numFmtId="177" fontId="1" fillId="14" borderId="0" xfId="0" applyNumberFormat="1" applyFont="1" applyFill="1" applyAlignment="1">
      <alignment horizontal="center"/>
    </xf>
    <xf numFmtId="177" fontId="3" fillId="14" borderId="0" xfId="0" applyNumberFormat="1" applyFont="1" applyFill="1" applyAlignment="1">
      <alignment horizontal="center"/>
    </xf>
    <xf numFmtId="166" fontId="3" fillId="3" borderId="0" xfId="0" applyNumberFormat="1" applyFont="1" applyFill="1" applyAlignment="1">
      <alignment horizontal="center"/>
    </xf>
    <xf numFmtId="9" fontId="3" fillId="14" borderId="0" xfId="0" applyNumberFormat="1" applyFont="1" applyFill="1" applyBorder="1" applyAlignment="1">
      <alignment horizontal="center"/>
    </xf>
    <xf numFmtId="9" fontId="3" fillId="12" borderId="0" xfId="0" applyNumberFormat="1" applyFont="1" applyFill="1" applyBorder="1" applyAlignment="1">
      <alignment horizontal="center"/>
    </xf>
    <xf numFmtId="0" fontId="95" fillId="0" borderId="0" xfId="0" applyFont="1" applyFill="1"/>
    <xf numFmtId="0" fontId="95" fillId="0" borderId="0" xfId="0" applyFont="1" applyFill="1" applyAlignment="1">
      <alignment horizontal="left"/>
    </xf>
    <xf numFmtId="0" fontId="95" fillId="0" borderId="0" xfId="0" applyFont="1"/>
    <xf numFmtId="0" fontId="95" fillId="0" borderId="0" xfId="0" applyFont="1" applyAlignment="1">
      <alignment horizontal="left"/>
    </xf>
    <xf numFmtId="168" fontId="94" fillId="0" borderId="0" xfId="0" applyNumberFormat="1" applyFont="1" applyFill="1" applyAlignment="1">
      <alignment horizontal="center"/>
    </xf>
    <xf numFmtId="216" fontId="1" fillId="3" borderId="4" xfId="0" applyNumberFormat="1" applyFont="1" applyFill="1" applyBorder="1" applyAlignment="1">
      <alignment horizontal="center"/>
    </xf>
    <xf numFmtId="0" fontId="0" fillId="0" borderId="0" xfId="0" applyFill="1" applyAlignment="1">
      <alignment horizontal="right"/>
    </xf>
    <xf numFmtId="1" fontId="3" fillId="0" borderId="0" xfId="0" applyNumberFormat="1" applyFont="1" applyBorder="1" applyAlignment="1">
      <alignment horizontal="center"/>
    </xf>
    <xf numFmtId="219" fontId="57" fillId="3" borderId="0" xfId="0" applyNumberFormat="1" applyFont="1" applyFill="1" applyAlignment="1">
      <alignment horizontal="center"/>
    </xf>
    <xf numFmtId="207" fontId="57" fillId="3" borderId="0" xfId="0" applyNumberFormat="1" applyFont="1" applyFill="1" applyAlignment="1">
      <alignment horizontal="center"/>
    </xf>
    <xf numFmtId="177" fontId="57" fillId="12" borderId="0" xfId="0" applyNumberFormat="1" applyFont="1" applyFill="1" applyAlignment="1">
      <alignment horizontal="center"/>
    </xf>
    <xf numFmtId="172" fontId="3" fillId="0" borderId="0" xfId="0" applyNumberFormat="1" applyFont="1" applyFill="1" applyAlignment="1">
      <alignment horizontal="center"/>
    </xf>
    <xf numFmtId="168" fontId="1" fillId="0" borderId="31" xfId="0" applyNumberFormat="1" applyFont="1" applyFill="1" applyBorder="1" applyAlignment="1">
      <alignment horizontal="center" vertical="center"/>
    </xf>
    <xf numFmtId="173" fontId="1" fillId="0" borderId="0" xfId="2" applyNumberFormat="1" applyFont="1" applyFill="1" applyBorder="1" applyAlignment="1" applyProtection="1">
      <alignment horizontal="center" vertical="center"/>
    </xf>
    <xf numFmtId="168" fontId="1" fillId="0" borderId="34" xfId="0" applyNumberFormat="1" applyFont="1" applyFill="1" applyBorder="1" applyAlignment="1">
      <alignment horizontal="center" vertical="center"/>
    </xf>
    <xf numFmtId="192" fontId="12" fillId="14" borderId="0" xfId="0" applyNumberFormat="1" applyFont="1" applyFill="1" applyBorder="1" applyAlignment="1">
      <alignment horizontal="center"/>
    </xf>
    <xf numFmtId="168" fontId="24" fillId="0" borderId="0" xfId="2" applyNumberFormat="1" applyFont="1" applyFill="1" applyBorder="1" applyAlignment="1">
      <alignment horizontal="center"/>
    </xf>
    <xf numFmtId="0" fontId="9" fillId="10" borderId="0" xfId="0" applyFont="1" applyFill="1"/>
    <xf numFmtId="0" fontId="77" fillId="14" borderId="0" xfId="0" applyFont="1" applyFill="1" applyBorder="1" applyAlignment="1">
      <alignment horizontal="center" vertical="center" wrapText="1"/>
    </xf>
    <xf numFmtId="0" fontId="76" fillId="14" borderId="0" xfId="0" applyFont="1" applyFill="1" applyAlignment="1">
      <alignment horizontal="center" vertical="center" wrapText="1"/>
    </xf>
    <xf numFmtId="2" fontId="24" fillId="9" borderId="0" xfId="0" applyNumberFormat="1" applyFont="1" applyFill="1" applyAlignment="1">
      <alignment horizontal="left" vertical="center" wrapText="1"/>
    </xf>
    <xf numFmtId="0" fontId="70" fillId="9" borderId="0" xfId="0" applyFont="1" applyFill="1" applyBorder="1" applyAlignment="1">
      <alignment horizontal="center" vertical="center"/>
    </xf>
    <xf numFmtId="49" fontId="3" fillId="9" borderId="0" xfId="0" applyNumberFormat="1" applyFont="1" applyFill="1" applyAlignment="1">
      <alignment horizontal="left" vertical="center" wrapText="1"/>
    </xf>
    <xf numFmtId="0" fontId="12" fillId="10" borderId="0" xfId="0" applyFont="1" applyFill="1" applyAlignment="1">
      <alignment horizontal="right"/>
    </xf>
    <xf numFmtId="0" fontId="12" fillId="0" borderId="0" xfId="0" applyFont="1" applyAlignment="1">
      <alignment horizontal="right"/>
    </xf>
    <xf numFmtId="0" fontId="57" fillId="9" borderId="0" xfId="0" applyFont="1" applyFill="1" applyBorder="1" applyAlignment="1">
      <alignment horizontal="left" vertical="center" wrapText="1"/>
    </xf>
    <xf numFmtId="0" fontId="32" fillId="16" borderId="0" xfId="0" applyFont="1" applyFill="1" applyBorder="1" applyAlignment="1"/>
    <xf numFmtId="0" fontId="4" fillId="16" borderId="0" xfId="0" applyFont="1" applyFill="1" applyAlignment="1"/>
    <xf numFmtId="0" fontId="23" fillId="16" borderId="0" xfId="0" applyFont="1" applyFill="1" applyAlignment="1">
      <alignment horizontal="left" vertical="center" wrapText="1"/>
    </xf>
    <xf numFmtId="0" fontId="5" fillId="16" borderId="0" xfId="0" applyFont="1" applyFill="1" applyAlignment="1">
      <alignment vertical="center" wrapText="1"/>
    </xf>
    <xf numFmtId="0" fontId="0" fillId="16" borderId="0" xfId="0" applyFill="1" applyAlignment="1"/>
    <xf numFmtId="0" fontId="24" fillId="0" borderId="0" xfId="0" applyFont="1" applyFill="1" applyAlignment="1">
      <alignment wrapText="1"/>
    </xf>
    <xf numFmtId="0" fontId="57" fillId="0" borderId="0" xfId="0" applyFont="1" applyAlignment="1"/>
    <xf numFmtId="0" fontId="0" fillId="0" borderId="0" xfId="0" applyAlignment="1">
      <alignment horizontal="right"/>
    </xf>
    <xf numFmtId="0" fontId="57" fillId="0" borderId="0" xfId="0" applyFont="1" applyFill="1" applyAlignment="1">
      <alignment horizontal="right"/>
    </xf>
    <xf numFmtId="0" fontId="0" fillId="0" borderId="0" xfId="0" applyFill="1" applyAlignment="1">
      <alignment horizontal="right"/>
    </xf>
    <xf numFmtId="0" fontId="12" fillId="16" borderId="0" xfId="0" applyFont="1" applyFill="1" applyAlignment="1">
      <alignment horizontal="right"/>
    </xf>
    <xf numFmtId="0" fontId="0" fillId="16" borderId="0" xfId="0" applyFill="1" applyAlignment="1">
      <alignment horizontal="right"/>
    </xf>
    <xf numFmtId="0" fontId="12" fillId="16" borderId="0" xfId="0" applyFont="1" applyFill="1" applyAlignment="1">
      <alignment wrapText="1"/>
    </xf>
    <xf numFmtId="0" fontId="0" fillId="0" borderId="0" xfId="0" applyBorder="1" applyAlignment="1">
      <alignment horizontal="left" vertical="top"/>
    </xf>
    <xf numFmtId="0" fontId="12" fillId="10" borderId="0" xfId="0" applyFont="1" applyFill="1" applyAlignment="1">
      <alignment horizontal="center" wrapText="1"/>
    </xf>
    <xf numFmtId="0" fontId="0" fillId="0" borderId="0" xfId="0" applyAlignment="1">
      <alignment horizontal="center" wrapText="1"/>
    </xf>
    <xf numFmtId="0" fontId="13" fillId="10" borderId="0" xfId="0" applyFont="1" applyFill="1" applyAlignment="1">
      <alignment horizontal="right"/>
    </xf>
    <xf numFmtId="0" fontId="3" fillId="0" borderId="0" xfId="0" applyFont="1" applyAlignment="1">
      <alignment horizontal="left" vertical="center"/>
    </xf>
    <xf numFmtId="0" fontId="0" fillId="0" borderId="0" xfId="0" applyFill="1" applyBorder="1" applyAlignment="1">
      <alignment wrapText="1"/>
    </xf>
    <xf numFmtId="0" fontId="3" fillId="0" borderId="0" xfId="0" applyFont="1" applyAlignment="1">
      <alignment horizontal="center" vertical="center"/>
    </xf>
    <xf numFmtId="0" fontId="23" fillId="7" borderId="0" xfId="0" applyFont="1" applyFill="1" applyAlignment="1">
      <alignment horizontal="left" vertical="center" wrapText="1"/>
    </xf>
    <xf numFmtId="0" fontId="5" fillId="7" borderId="0" xfId="0" applyFont="1" applyFill="1" applyAlignment="1">
      <alignment vertical="center" wrapText="1"/>
    </xf>
    <xf numFmtId="0" fontId="0" fillId="0" borderId="0" xfId="0" applyAlignment="1"/>
    <xf numFmtId="0" fontId="57" fillId="9" borderId="0" xfId="0" applyFont="1" applyFill="1" applyAlignment="1">
      <alignment vertical="center" wrapText="1"/>
    </xf>
    <xf numFmtId="0" fontId="32" fillId="7" borderId="0" xfId="0" applyFont="1" applyFill="1" applyBorder="1" applyAlignment="1"/>
    <xf numFmtId="0" fontId="4" fillId="7" borderId="0" xfId="0" applyFont="1" applyFill="1" applyAlignment="1"/>
    <xf numFmtId="0" fontId="54" fillId="7" borderId="0" xfId="0" applyFont="1" applyFill="1" applyAlignment="1"/>
    <xf numFmtId="0" fontId="57" fillId="3" borderId="0" xfId="0" applyFont="1" applyFill="1" applyAlignment="1">
      <alignment horizontal="right"/>
    </xf>
    <xf numFmtId="0" fontId="0" fillId="3" borderId="0" xfId="0" applyFill="1" applyAlignment="1">
      <alignment horizontal="right"/>
    </xf>
  </cellXfs>
  <cellStyles count="4">
    <cellStyle name="Link" xfId="1" builtinId="8"/>
    <cellStyle name="Prozent" xfId="2" builtinId="5"/>
    <cellStyle name="Standard" xfId="0" builtinId="0"/>
    <cellStyle name="Standard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de-CH" sz="1400" b="1" i="0" u="none" strike="noStrike" baseline="0">
                <a:solidFill>
                  <a:srgbClr val="000000"/>
                </a:solidFill>
                <a:latin typeface="Arial"/>
                <a:cs typeface="Arial"/>
              </a:rPr>
              <a:t>Cashflow-Kurve</a:t>
            </a:r>
          </a:p>
          <a:p>
            <a:pPr>
              <a:defRPr sz="800" b="0" i="0" u="none" strike="noStrike" baseline="0">
                <a:solidFill>
                  <a:srgbClr val="000000"/>
                </a:solidFill>
                <a:latin typeface="Arial"/>
                <a:ea typeface="Arial"/>
                <a:cs typeface="Arial"/>
              </a:defRPr>
            </a:pPr>
            <a:r>
              <a:rPr lang="de-CH" sz="1100" b="1" i="0" u="none" strike="noStrike" baseline="0">
                <a:solidFill>
                  <a:srgbClr val="000000"/>
                </a:solidFill>
                <a:latin typeface="Arial"/>
                <a:cs typeface="Arial"/>
              </a:rPr>
              <a:t>Geldflusskurve</a:t>
            </a:r>
          </a:p>
        </c:rich>
      </c:tx>
      <c:layout>
        <c:manualLayout>
          <c:xMode val="edge"/>
          <c:yMode val="edge"/>
          <c:x val="0.50460599909418802"/>
          <c:y val="4.5146772297634573E-3"/>
        </c:manualLayout>
      </c:layout>
      <c:overlay val="0"/>
      <c:spPr>
        <a:noFill/>
        <a:ln w="25400">
          <a:noFill/>
        </a:ln>
      </c:spPr>
    </c:title>
    <c:autoTitleDeleted val="0"/>
    <c:plotArea>
      <c:layout>
        <c:manualLayout>
          <c:layoutTarget val="inner"/>
          <c:xMode val="edge"/>
          <c:yMode val="edge"/>
          <c:x val="0.15174498348996698"/>
          <c:y val="9.172652883630189E-2"/>
          <c:w val="0.8046828457293278"/>
          <c:h val="0.71296471490047109"/>
        </c:manualLayout>
      </c:layout>
      <c:scatterChart>
        <c:scatterStyle val="lineMarker"/>
        <c:varyColors val="0"/>
        <c:ser>
          <c:idx val="0"/>
          <c:order val="0"/>
          <c:spPr>
            <a:ln w="38100">
              <a:solidFill>
                <a:srgbClr val="000080"/>
              </a:solidFill>
              <a:prstDash val="solid"/>
            </a:ln>
          </c:spPr>
          <c:marker>
            <c:symbol val="diamond"/>
            <c:size val="7"/>
            <c:spPr>
              <a:solidFill>
                <a:srgbClr val="000080"/>
              </a:solidFill>
              <a:ln>
                <a:solidFill>
                  <a:srgbClr val="000080"/>
                </a:solidFill>
                <a:prstDash val="solid"/>
              </a:ln>
            </c:spPr>
          </c:marker>
          <c:xVal>
            <c:numRef>
              <c:f>'Standard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'Standard Cashflow'!$C$26:$C$42</c:f>
              <c:numCache>
                <c:formatCode>\ #,##0\ "Fr."</c:formatCode>
                <c:ptCount val="17"/>
                <c:pt idx="0">
                  <c:v>-90890.014449999988</c:v>
                </c:pt>
                <c:pt idx="1">
                  <c:v>-100259.56031338332</c:v>
                </c:pt>
                <c:pt idx="2">
                  <c:v>-109760.93208953711</c:v>
                </c:pt>
                <c:pt idx="3">
                  <c:v>-184635.76350879166</c:v>
                </c:pt>
                <c:pt idx="4">
                  <c:v>-188625.62539126823</c:v>
                </c:pt>
                <c:pt idx="5">
                  <c:v>-167067.87717363582</c:v>
                </c:pt>
                <c:pt idx="6">
                  <c:v>-146790.68614512161</c:v>
                </c:pt>
                <c:pt idx="7">
                  <c:v>-124856.42347427388</c:v>
                </c:pt>
                <c:pt idx="8">
                  <c:v>-102724.75243938848</c:v>
                </c:pt>
                <c:pt idx="9">
                  <c:v>-126537.48618826605</c:v>
                </c:pt>
                <c:pt idx="10">
                  <c:v>-109000.75471780659</c:v>
                </c:pt>
                <c:pt idx="11">
                  <c:v>-86726.382664113014</c:v>
                </c:pt>
                <c:pt idx="12">
                  <c:v>-65726.118185013125</c:v>
                </c:pt>
                <c:pt idx="13">
                  <c:v>-43062.274402524403</c:v>
                </c:pt>
                <c:pt idx="14">
                  <c:v>-20194.456025993277</c:v>
                </c:pt>
                <c:pt idx="15">
                  <c:v>1404.5957928497082</c:v>
                </c:pt>
                <c:pt idx="16">
                  <c:v>18672.616001139206</c:v>
                </c:pt>
              </c:numCache>
            </c:numRef>
          </c:yVal>
          <c:smooth val="0"/>
          <c:extLst>
            <c:ext xmlns:c16="http://schemas.microsoft.com/office/drawing/2014/chart" uri="{C3380CC4-5D6E-409C-BE32-E72D297353CC}">
              <c16:uniqueId val="{00000000-32D1-4A1A-8151-210061261798}"/>
            </c:ext>
          </c:extLst>
        </c:ser>
        <c:ser>
          <c:idx val="1"/>
          <c:order val="1"/>
          <c:spPr>
            <a:ln w="38100">
              <a:solidFill>
                <a:srgbClr val="FF66CC"/>
              </a:solidFill>
              <a:prstDash val="solid"/>
            </a:ln>
          </c:spPr>
          <c:marker>
            <c:symbol val="circle"/>
            <c:size val="7"/>
            <c:spPr>
              <a:solidFill>
                <a:srgbClr val="FF66CC"/>
              </a:solidFill>
              <a:ln>
                <a:solidFill>
                  <a:srgbClr val="FF66CC"/>
                </a:solidFill>
                <a:prstDash val="solid"/>
              </a:ln>
            </c:spPr>
          </c:marker>
          <c:xVal>
            <c:numRef>
              <c:f>'Var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'Var Cashflow'!$C$26:$C$42</c:f>
              <c:numCache>
                <c:formatCode>\ #,##0\ "Fr."</c:formatCode>
                <c:ptCount val="17"/>
                <c:pt idx="0">
                  <c:v>-90890.014449999988</c:v>
                </c:pt>
                <c:pt idx="1">
                  <c:v>-100259.56031338332</c:v>
                </c:pt>
                <c:pt idx="2">
                  <c:v>-109760.93208953711</c:v>
                </c:pt>
                <c:pt idx="3">
                  <c:v>-184635.76350879166</c:v>
                </c:pt>
                <c:pt idx="4">
                  <c:v>-188625.62539126823</c:v>
                </c:pt>
                <c:pt idx="5">
                  <c:v>-167067.87717363582</c:v>
                </c:pt>
                <c:pt idx="6">
                  <c:v>-146790.68614512158</c:v>
                </c:pt>
                <c:pt idx="7">
                  <c:v>-124856.4234742738</c:v>
                </c:pt>
                <c:pt idx="8">
                  <c:v>-102724.75243938841</c:v>
                </c:pt>
                <c:pt idx="9">
                  <c:v>-126537.48618826595</c:v>
                </c:pt>
                <c:pt idx="10">
                  <c:v>-109000.75471780649</c:v>
                </c:pt>
                <c:pt idx="11">
                  <c:v>-86726.382664112884</c:v>
                </c:pt>
                <c:pt idx="12">
                  <c:v>-65726.118185012965</c:v>
                </c:pt>
                <c:pt idx="13">
                  <c:v>-43062.274402524214</c:v>
                </c:pt>
                <c:pt idx="14">
                  <c:v>-20194.456025993073</c:v>
                </c:pt>
                <c:pt idx="15">
                  <c:v>1404.5957928499265</c:v>
                </c:pt>
                <c:pt idx="16">
                  <c:v>18672.616001139439</c:v>
                </c:pt>
              </c:numCache>
            </c:numRef>
          </c:yVal>
          <c:smooth val="0"/>
          <c:extLst>
            <c:ext xmlns:c16="http://schemas.microsoft.com/office/drawing/2014/chart" uri="{C3380CC4-5D6E-409C-BE32-E72D297353CC}">
              <c16:uniqueId val="{00000001-32D1-4A1A-8151-210061261798}"/>
            </c:ext>
          </c:extLst>
        </c:ser>
        <c:dLbls>
          <c:showLegendKey val="0"/>
          <c:showVal val="0"/>
          <c:showCatName val="0"/>
          <c:showSerName val="0"/>
          <c:showPercent val="0"/>
          <c:showBubbleSize val="0"/>
        </c:dLbls>
        <c:axId val="659273744"/>
        <c:axId val="1"/>
      </c:scatterChart>
      <c:valAx>
        <c:axId val="659273744"/>
        <c:scaling>
          <c:orientation val="minMax"/>
          <c:max val="17"/>
          <c:min val="0"/>
        </c:scaling>
        <c:delete val="0"/>
        <c:axPos val="b"/>
        <c:title>
          <c:tx>
            <c:rich>
              <a:bodyPr/>
              <a:lstStyle/>
              <a:p>
                <a:pPr>
                  <a:defRPr sz="1100" b="0" i="0" u="none" strike="noStrike" baseline="0">
                    <a:solidFill>
                      <a:srgbClr val="000000"/>
                    </a:solidFill>
                    <a:latin typeface="Arial"/>
                    <a:ea typeface="Arial"/>
                    <a:cs typeface="Arial"/>
                  </a:defRPr>
                </a:pPr>
                <a:r>
                  <a:rPr lang="de-CH" sz="1200" b="1" i="0" u="none" strike="noStrike" baseline="0">
                    <a:solidFill>
                      <a:srgbClr val="000000"/>
                    </a:solidFill>
                    <a:latin typeface="Arial"/>
                    <a:cs typeface="Arial"/>
                  </a:rPr>
                  <a:t>Standjahre      </a:t>
                </a:r>
                <a:r>
                  <a:rPr lang="de-CH" sz="1000" b="0" i="0" u="none" strike="noStrike" baseline="0">
                    <a:solidFill>
                      <a:srgbClr val="000000"/>
                    </a:solidFill>
                    <a:latin typeface="Arial"/>
                    <a:cs typeface="Arial"/>
                  </a:rPr>
                  <a:t> </a:t>
                </a:r>
              </a:p>
              <a:p>
                <a:pPr>
                  <a:defRPr sz="1100" b="0" i="0" u="none" strike="noStrike" baseline="0">
                    <a:solidFill>
                      <a:srgbClr val="000000"/>
                    </a:solidFill>
                    <a:latin typeface="Arial"/>
                    <a:ea typeface="Arial"/>
                    <a:cs typeface="Arial"/>
                  </a:defRPr>
                </a:pPr>
                <a:r>
                  <a:rPr lang="de-CH" sz="1000" b="0" i="0" u="none" strike="noStrike" baseline="0">
                    <a:solidFill>
                      <a:srgbClr val="000000"/>
                    </a:solidFill>
                    <a:latin typeface="Arial"/>
                    <a:cs typeface="Arial"/>
                  </a:rPr>
                  <a:t>0 = Erstellung,  1 = 1. Standjahr</a:t>
                </a:r>
              </a:p>
              <a:p>
                <a:pPr>
                  <a:defRPr sz="1100" b="0" i="0" u="none" strike="noStrike" baseline="0">
                    <a:solidFill>
                      <a:srgbClr val="000000"/>
                    </a:solidFill>
                    <a:latin typeface="Arial"/>
                    <a:ea typeface="Arial"/>
                    <a:cs typeface="Arial"/>
                  </a:defRPr>
                </a:pPr>
                <a:endParaRPr lang="de-CH" sz="1000" b="0" i="0" u="none" strike="noStrike" baseline="0">
                  <a:solidFill>
                    <a:srgbClr val="000000"/>
                  </a:solidFill>
                  <a:latin typeface="Arial"/>
                  <a:cs typeface="Arial"/>
                </a:endParaRPr>
              </a:p>
              <a:p>
                <a:pPr>
                  <a:defRPr sz="1100" b="0" i="0" u="none" strike="noStrike" baseline="0">
                    <a:solidFill>
                      <a:srgbClr val="000000"/>
                    </a:solidFill>
                    <a:latin typeface="Arial"/>
                    <a:ea typeface="Arial"/>
                    <a:cs typeface="Arial"/>
                  </a:defRPr>
                </a:pPr>
                <a:r>
                  <a:rPr lang="de-CH" sz="1000" b="1" i="0" u="none" strike="noStrike" baseline="0">
                    <a:solidFill>
                      <a:srgbClr val="000000"/>
                    </a:solidFill>
                    <a:latin typeface="Arial"/>
                    <a:cs typeface="Arial"/>
                  </a:rPr>
                  <a:t>1. Folie im 3. Stj.                                 2. Folie im 9. Stj.</a:t>
                </a:r>
              </a:p>
            </c:rich>
          </c:tx>
          <c:layout>
            <c:manualLayout>
              <c:xMode val="edge"/>
              <c:yMode val="edge"/>
              <c:x val="0.3605700339952308"/>
              <c:y val="0.83486888717131225"/>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
        <c:crosses val="autoZero"/>
        <c:crossBetween val="midCat"/>
        <c:majorUnit val="2"/>
        <c:minorUnit val="1"/>
      </c:valAx>
      <c:valAx>
        <c:axId val="1"/>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1.0672347089669925E-2"/>
              <c:y val="0.39733265703750226"/>
            </c:manualLayout>
          </c:layout>
          <c:overlay val="0"/>
          <c:spPr>
            <a:noFill/>
            <a:ln w="25400">
              <a:noFill/>
            </a:ln>
          </c:spPr>
        </c:title>
        <c:numFmt formatCode="\ #,##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65927374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chemeClr val="bg1">
        <a:lumMod val="9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de-CH"/>
              <a:t>Anteil der Erntekosten</a:t>
            </a:r>
          </a:p>
        </c:rich>
      </c:tx>
      <c:layout>
        <c:manualLayout>
          <c:xMode val="edge"/>
          <c:yMode val="edge"/>
          <c:x val="0.37391990517314366"/>
          <c:y val="3.1119263501153266E-2"/>
        </c:manualLayout>
      </c:layout>
      <c:overlay val="0"/>
      <c:spPr>
        <a:noFill/>
        <a:ln w="25400">
          <a:noFill/>
        </a:ln>
      </c:spPr>
    </c:title>
    <c:autoTitleDeleted val="0"/>
    <c:plotArea>
      <c:layout>
        <c:manualLayout>
          <c:layoutTarget val="inner"/>
          <c:xMode val="edge"/>
          <c:yMode val="edge"/>
          <c:x val="0.1871069182389937"/>
          <c:y val="0.13970588235294118"/>
          <c:w val="0.61949685534591192"/>
          <c:h val="0.73039215686274506"/>
        </c:manualLayout>
      </c:layout>
      <c:barChart>
        <c:barDir val="bar"/>
        <c:grouping val="clustered"/>
        <c:varyColors val="0"/>
        <c:ser>
          <c:idx val="0"/>
          <c:order val="0"/>
          <c:tx>
            <c:strRef>
              <c:f>'Standard Ertragsphase'!$B$165</c:f>
              <c:strCache>
                <c:ptCount val="1"/>
                <c:pt idx="0">
                  <c:v>Standard</c:v>
                </c:pt>
              </c:strCache>
            </c:strRef>
          </c:tx>
          <c:spPr>
            <a:solidFill>
              <a:srgbClr val="000080"/>
            </a:solidFill>
            <a:ln w="12700">
              <a:solidFill>
                <a:srgbClr val="000000"/>
              </a:solidFill>
              <a:prstDash val="solid"/>
            </a:ln>
          </c:spPr>
          <c:invertIfNegative val="0"/>
          <c:cat>
            <c:strRef>
              <c:f>'Var Ertragsphase'!$A$172:$A$173</c:f>
              <c:strCache>
                <c:ptCount val="2"/>
                <c:pt idx="0">
                  <c:v>Total Ernte</c:v>
                </c:pt>
                <c:pt idx="1">
                  <c:v>übrige Produktionskosten</c:v>
                </c:pt>
              </c:strCache>
            </c:strRef>
          </c:cat>
          <c:val>
            <c:numRef>
              <c:f>'Standard Ertragsphase'!$B$172:$B$173</c:f>
              <c:numCache>
                <c:formatCode>\ #,##0\ "Fr."</c:formatCode>
                <c:ptCount val="2"/>
                <c:pt idx="0">
                  <c:v>24350</c:v>
                </c:pt>
                <c:pt idx="1">
                  <c:v>52048.661208638834</c:v>
                </c:pt>
              </c:numCache>
            </c:numRef>
          </c:val>
          <c:extLst>
            <c:ext xmlns:c16="http://schemas.microsoft.com/office/drawing/2014/chart" uri="{C3380CC4-5D6E-409C-BE32-E72D297353CC}">
              <c16:uniqueId val="{00000000-F24C-42BD-B00A-83D85DC27355}"/>
            </c:ext>
          </c:extLst>
        </c:ser>
        <c:ser>
          <c:idx val="1"/>
          <c:order val="1"/>
          <c:tx>
            <c:strRef>
              <c:f>'Var Ertragsphase'!$B$165</c:f>
              <c:strCache>
                <c:ptCount val="1"/>
                <c:pt idx="0">
                  <c:v>Variante</c:v>
                </c:pt>
              </c:strCache>
            </c:strRef>
          </c:tx>
          <c:spPr>
            <a:solidFill>
              <a:srgbClr val="FF66CC"/>
            </a:solidFill>
            <a:ln w="12700">
              <a:solidFill>
                <a:srgbClr val="000000"/>
              </a:solidFill>
              <a:prstDash val="solid"/>
            </a:ln>
          </c:spPr>
          <c:invertIfNegative val="0"/>
          <c:cat>
            <c:strRef>
              <c:f>'Var Ertragsphase'!$A$172:$A$173</c:f>
              <c:strCache>
                <c:ptCount val="2"/>
                <c:pt idx="0">
                  <c:v>Total Ernte</c:v>
                </c:pt>
                <c:pt idx="1">
                  <c:v>übrige Produktionskosten</c:v>
                </c:pt>
              </c:strCache>
            </c:strRef>
          </c:cat>
          <c:val>
            <c:numRef>
              <c:f>'Var Ertragsphase'!$B$172:$B$173</c:f>
              <c:numCache>
                <c:formatCode>\ #,##0\ "Fr."</c:formatCode>
                <c:ptCount val="2"/>
                <c:pt idx="0">
                  <c:v>24350</c:v>
                </c:pt>
                <c:pt idx="1">
                  <c:v>52048.661208638834</c:v>
                </c:pt>
              </c:numCache>
            </c:numRef>
          </c:val>
          <c:extLst>
            <c:ext xmlns:c16="http://schemas.microsoft.com/office/drawing/2014/chart" uri="{C3380CC4-5D6E-409C-BE32-E72D297353CC}">
              <c16:uniqueId val="{00000001-F24C-42BD-B00A-83D85DC27355}"/>
            </c:ext>
          </c:extLst>
        </c:ser>
        <c:dLbls>
          <c:showLegendKey val="0"/>
          <c:showVal val="0"/>
          <c:showCatName val="0"/>
          <c:showSerName val="0"/>
          <c:showPercent val="0"/>
          <c:showBubbleSize val="0"/>
        </c:dLbls>
        <c:gapWidth val="150"/>
        <c:axId val="660986368"/>
        <c:axId val="1"/>
      </c:barChart>
      <c:catAx>
        <c:axId val="6609863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660986368"/>
        <c:crosses val="max"/>
        <c:crossBetween val="between"/>
      </c:valAx>
      <c:spPr>
        <a:noFill/>
        <a:ln w="3175">
          <a:solidFill>
            <a:srgbClr val="000000"/>
          </a:solidFill>
          <a:prstDash val="solid"/>
        </a:ln>
      </c:spPr>
    </c:plotArea>
    <c:legend>
      <c:legendPos val="r"/>
      <c:layout>
        <c:manualLayout>
          <c:xMode val="edge"/>
          <c:yMode val="edge"/>
          <c:x val="0.80000084666836002"/>
          <c:y val="0.45454620019088521"/>
          <c:w val="0.1587098467530268"/>
          <c:h val="0.1344699455181738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de-CH"/>
              <a:t>Gliederung der Erntekosten</a:t>
            </a:r>
          </a:p>
        </c:rich>
      </c:tx>
      <c:layout>
        <c:manualLayout>
          <c:xMode val="edge"/>
          <c:yMode val="edge"/>
          <c:x val="0.36079665522578913"/>
          <c:y val="3.2581414400734698E-2"/>
        </c:manualLayout>
      </c:layout>
      <c:overlay val="0"/>
      <c:spPr>
        <a:noFill/>
        <a:ln w="25400">
          <a:noFill/>
        </a:ln>
      </c:spPr>
    </c:title>
    <c:autoTitleDeleted val="0"/>
    <c:plotArea>
      <c:layout>
        <c:manualLayout>
          <c:layoutTarget val="inner"/>
          <c:xMode val="edge"/>
          <c:yMode val="edge"/>
          <c:x val="0.12495119094103865"/>
          <c:y val="0.12030093590442155"/>
          <c:w val="0.67629832096837172"/>
          <c:h val="0.72180561542652932"/>
        </c:manualLayout>
      </c:layout>
      <c:barChart>
        <c:barDir val="bar"/>
        <c:grouping val="clustered"/>
        <c:varyColors val="0"/>
        <c:ser>
          <c:idx val="0"/>
          <c:order val="0"/>
          <c:tx>
            <c:strRef>
              <c:f>'Standard Ertragsphase'!$B$165</c:f>
              <c:strCache>
                <c:ptCount val="1"/>
                <c:pt idx="0">
                  <c:v>Standard</c:v>
                </c:pt>
              </c:strCache>
            </c:strRef>
          </c:tx>
          <c:spPr>
            <a:solidFill>
              <a:srgbClr val="000080"/>
            </a:solidFill>
            <a:ln w="12700">
              <a:solidFill>
                <a:srgbClr val="000000"/>
              </a:solidFill>
              <a:prstDash val="solid"/>
            </a:ln>
          </c:spPr>
          <c:invertIfNegative val="0"/>
          <c:cat>
            <c:strRef>
              <c:f>'Var Ertragsphase'!$A$176:$A$177</c:f>
              <c:strCache>
                <c:ptCount val="2"/>
                <c:pt idx="0">
                  <c:v>Maschinen</c:v>
                </c:pt>
                <c:pt idx="1">
                  <c:v>Arbeit</c:v>
                </c:pt>
              </c:strCache>
            </c:strRef>
          </c:cat>
          <c:val>
            <c:numRef>
              <c:f>'Standard Ertragsphase'!$B$176:$B$177</c:f>
              <c:numCache>
                <c:formatCode>\ #,##0\ "Fr."</c:formatCode>
                <c:ptCount val="2"/>
                <c:pt idx="0">
                  <c:v>5500</c:v>
                </c:pt>
                <c:pt idx="1">
                  <c:v>18850</c:v>
                </c:pt>
              </c:numCache>
            </c:numRef>
          </c:val>
          <c:extLst>
            <c:ext xmlns:c16="http://schemas.microsoft.com/office/drawing/2014/chart" uri="{C3380CC4-5D6E-409C-BE32-E72D297353CC}">
              <c16:uniqueId val="{00000000-76CB-4486-81D3-3E95B4626713}"/>
            </c:ext>
          </c:extLst>
        </c:ser>
        <c:ser>
          <c:idx val="1"/>
          <c:order val="1"/>
          <c:tx>
            <c:strRef>
              <c:f>'Var Ertragsphase'!$B$165</c:f>
              <c:strCache>
                <c:ptCount val="1"/>
                <c:pt idx="0">
                  <c:v>Variante</c:v>
                </c:pt>
              </c:strCache>
            </c:strRef>
          </c:tx>
          <c:spPr>
            <a:solidFill>
              <a:srgbClr val="FF66CC"/>
            </a:solidFill>
            <a:ln w="12700">
              <a:solidFill>
                <a:srgbClr val="000000"/>
              </a:solidFill>
              <a:prstDash val="solid"/>
            </a:ln>
          </c:spPr>
          <c:invertIfNegative val="0"/>
          <c:cat>
            <c:strRef>
              <c:f>'Var Ertragsphase'!$A$176:$A$177</c:f>
              <c:strCache>
                <c:ptCount val="2"/>
                <c:pt idx="0">
                  <c:v>Maschinen</c:v>
                </c:pt>
                <c:pt idx="1">
                  <c:v>Arbeit</c:v>
                </c:pt>
              </c:strCache>
            </c:strRef>
          </c:cat>
          <c:val>
            <c:numRef>
              <c:f>'Var Ertragsphase'!$B$176:$B$177</c:f>
              <c:numCache>
                <c:formatCode>\ #,##0\ "Fr."</c:formatCode>
                <c:ptCount val="2"/>
                <c:pt idx="0">
                  <c:v>5500</c:v>
                </c:pt>
                <c:pt idx="1">
                  <c:v>18850</c:v>
                </c:pt>
              </c:numCache>
            </c:numRef>
          </c:val>
          <c:extLst>
            <c:ext xmlns:c16="http://schemas.microsoft.com/office/drawing/2014/chart" uri="{C3380CC4-5D6E-409C-BE32-E72D297353CC}">
              <c16:uniqueId val="{00000001-76CB-4486-81D3-3E95B4626713}"/>
            </c:ext>
          </c:extLst>
        </c:ser>
        <c:dLbls>
          <c:showLegendKey val="0"/>
          <c:showVal val="0"/>
          <c:showCatName val="0"/>
          <c:showSerName val="0"/>
          <c:showPercent val="0"/>
          <c:showBubbleSize val="0"/>
        </c:dLbls>
        <c:gapWidth val="150"/>
        <c:axId val="660979152"/>
        <c:axId val="1"/>
      </c:barChart>
      <c:catAx>
        <c:axId val="6609791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660979152"/>
        <c:crosses val="max"/>
        <c:crossBetween val="between"/>
      </c:valAx>
      <c:spPr>
        <a:noFill/>
        <a:ln w="3175">
          <a:solidFill>
            <a:srgbClr val="000000"/>
          </a:solidFill>
          <a:prstDash val="solid"/>
        </a:ln>
      </c:spPr>
    </c:plotArea>
    <c:legend>
      <c:legendPos val="r"/>
      <c:layout>
        <c:manualLayout>
          <c:xMode val="edge"/>
          <c:yMode val="edge"/>
          <c:x val="0.78717965542768698"/>
          <c:y val="0.39960264658766559"/>
          <c:w val="0.15769230769230769"/>
          <c:h val="0.1610337972166998"/>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de-CH"/>
              <a:t>Gliederung nach Direkt- und Strukturkosten</a:t>
            </a:r>
          </a:p>
        </c:rich>
      </c:tx>
      <c:layout>
        <c:manualLayout>
          <c:xMode val="edge"/>
          <c:yMode val="edge"/>
          <c:x val="0.26040101000033222"/>
          <c:y val="3.2890452821653815E-2"/>
        </c:manualLayout>
      </c:layout>
      <c:overlay val="0"/>
      <c:spPr>
        <a:noFill/>
        <a:ln w="25400">
          <a:noFill/>
        </a:ln>
      </c:spPr>
    </c:title>
    <c:autoTitleDeleted val="0"/>
    <c:plotArea>
      <c:layout>
        <c:manualLayout>
          <c:layoutTarget val="inner"/>
          <c:xMode val="edge"/>
          <c:yMode val="edge"/>
          <c:x val="0.20647188295974231"/>
          <c:y val="9.6141830943242856E-2"/>
          <c:w val="0.60708896929954081"/>
          <c:h val="0.794435129373112"/>
        </c:manualLayout>
      </c:layout>
      <c:barChart>
        <c:barDir val="bar"/>
        <c:grouping val="clustered"/>
        <c:varyColors val="0"/>
        <c:ser>
          <c:idx val="0"/>
          <c:order val="0"/>
          <c:tx>
            <c:strRef>
              <c:f>'Standard Ertragsphase'!$B$133</c:f>
              <c:strCache>
                <c:ptCount val="1"/>
                <c:pt idx="0">
                  <c:v>Standard</c:v>
                </c:pt>
              </c:strCache>
            </c:strRef>
          </c:tx>
          <c:spPr>
            <a:solidFill>
              <a:srgbClr val="000080"/>
            </a:solidFill>
            <a:ln w="12700">
              <a:solidFill>
                <a:srgbClr val="000000"/>
              </a:solidFill>
              <a:prstDash val="solid"/>
            </a:ln>
          </c:spPr>
          <c:invertIfNegative val="0"/>
          <c:cat>
            <c:strRef>
              <c:f>'Var Ertragsphase'!$A$134:$A$135</c:f>
              <c:strCache>
                <c:ptCount val="2"/>
                <c:pt idx="0">
                  <c:v>Total Direktkosten</c:v>
                </c:pt>
                <c:pt idx="1">
                  <c:v>Total Strukturkosten</c:v>
                </c:pt>
              </c:strCache>
            </c:strRef>
          </c:cat>
          <c:val>
            <c:numRef>
              <c:f>'Standard Ertragsphase'!$B$134:$B$135</c:f>
              <c:numCache>
                <c:formatCode>\ #,##0\ "Fr."</c:formatCode>
                <c:ptCount val="2"/>
                <c:pt idx="0">
                  <c:v>34811.983981709724</c:v>
                </c:pt>
                <c:pt idx="1">
                  <c:v>41586.67722692911</c:v>
                </c:pt>
              </c:numCache>
            </c:numRef>
          </c:val>
          <c:extLst>
            <c:ext xmlns:c16="http://schemas.microsoft.com/office/drawing/2014/chart" uri="{C3380CC4-5D6E-409C-BE32-E72D297353CC}">
              <c16:uniqueId val="{00000000-28C9-42C1-AE20-3DBD904477B5}"/>
            </c:ext>
          </c:extLst>
        </c:ser>
        <c:ser>
          <c:idx val="1"/>
          <c:order val="1"/>
          <c:tx>
            <c:strRef>
              <c:f>'Var Ertragsphase'!$B$133</c:f>
              <c:strCache>
                <c:ptCount val="1"/>
                <c:pt idx="0">
                  <c:v>Variante</c:v>
                </c:pt>
              </c:strCache>
            </c:strRef>
          </c:tx>
          <c:spPr>
            <a:solidFill>
              <a:srgbClr val="FF66CC"/>
            </a:solidFill>
            <a:ln w="12700">
              <a:solidFill>
                <a:srgbClr val="000000"/>
              </a:solidFill>
              <a:prstDash val="solid"/>
            </a:ln>
          </c:spPr>
          <c:invertIfNegative val="0"/>
          <c:cat>
            <c:strRef>
              <c:f>'Var Ertragsphase'!$A$134:$A$135</c:f>
              <c:strCache>
                <c:ptCount val="2"/>
                <c:pt idx="0">
                  <c:v>Total Direktkosten</c:v>
                </c:pt>
                <c:pt idx="1">
                  <c:v>Total Strukturkosten</c:v>
                </c:pt>
              </c:strCache>
            </c:strRef>
          </c:cat>
          <c:val>
            <c:numRef>
              <c:f>'Var Ertragsphase'!$B$134:$B$135</c:f>
              <c:numCache>
                <c:formatCode>\ #,##0\ "Fr."</c:formatCode>
                <c:ptCount val="2"/>
                <c:pt idx="0">
                  <c:v>34811.983981709724</c:v>
                </c:pt>
                <c:pt idx="1">
                  <c:v>41586.67722692911</c:v>
                </c:pt>
              </c:numCache>
            </c:numRef>
          </c:val>
          <c:extLst>
            <c:ext xmlns:c16="http://schemas.microsoft.com/office/drawing/2014/chart" uri="{C3380CC4-5D6E-409C-BE32-E72D297353CC}">
              <c16:uniqueId val="{00000001-28C9-42C1-AE20-3DBD904477B5}"/>
            </c:ext>
          </c:extLst>
        </c:ser>
        <c:dLbls>
          <c:showLegendKey val="0"/>
          <c:showVal val="0"/>
          <c:showCatName val="0"/>
          <c:showSerName val="0"/>
          <c:showPercent val="0"/>
          <c:showBubbleSize val="0"/>
        </c:dLbls>
        <c:gapWidth val="150"/>
        <c:axId val="660971608"/>
        <c:axId val="1"/>
      </c:barChart>
      <c:catAx>
        <c:axId val="66097160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660971608"/>
        <c:crosses val="max"/>
        <c:crossBetween val="between"/>
      </c:valAx>
      <c:spPr>
        <a:noFill/>
        <a:ln w="3175">
          <a:solidFill>
            <a:srgbClr val="000000"/>
          </a:solidFill>
          <a:prstDash val="solid"/>
        </a:ln>
      </c:spPr>
    </c:plotArea>
    <c:legend>
      <c:legendPos val="r"/>
      <c:layout>
        <c:manualLayout>
          <c:xMode val="edge"/>
          <c:yMode val="edge"/>
          <c:x val="0.80379829894680888"/>
          <c:y val="0.34268615972101685"/>
          <c:w val="0.15822801421974153"/>
          <c:h val="0.17835723941320963"/>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38743825169649"/>
          <c:y val="0.15866311826365045"/>
          <c:w val="0.74190718543446643"/>
          <c:h val="0.72339625106647409"/>
        </c:manualLayout>
      </c:layout>
      <c:scatterChart>
        <c:scatterStyle val="lineMarker"/>
        <c:varyColors val="0"/>
        <c:ser>
          <c:idx val="0"/>
          <c:order val="0"/>
          <c:spPr>
            <a:ln w="38100">
              <a:solidFill>
                <a:srgbClr val="7030A0"/>
              </a:solidFill>
              <a:prstDash val="solid"/>
            </a:ln>
          </c:spPr>
          <c:marker>
            <c:symbol val="diamond"/>
            <c:size val="9"/>
            <c:spPr>
              <a:solidFill>
                <a:schemeClr val="accent4"/>
              </a:solidFill>
              <a:ln>
                <a:solidFill>
                  <a:schemeClr val="accent4"/>
                </a:solidFill>
                <a:prstDash val="solid"/>
              </a:ln>
            </c:spPr>
          </c:marker>
          <c:xVal>
            <c:numRef>
              <c:f>'Var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'Var Cashflow'!$C$26:$C$42</c:f>
              <c:numCache>
                <c:formatCode>\ #,##0\ "Fr."</c:formatCode>
                <c:ptCount val="17"/>
                <c:pt idx="0">
                  <c:v>-90890.014449999988</c:v>
                </c:pt>
                <c:pt idx="1">
                  <c:v>-100259.56031338332</c:v>
                </c:pt>
                <c:pt idx="2">
                  <c:v>-109760.93208953711</c:v>
                </c:pt>
                <c:pt idx="3">
                  <c:v>-184635.76350879166</c:v>
                </c:pt>
                <c:pt idx="4">
                  <c:v>-188625.62539126823</c:v>
                </c:pt>
                <c:pt idx="5">
                  <c:v>-167067.87717363582</c:v>
                </c:pt>
                <c:pt idx="6">
                  <c:v>-146790.68614512158</c:v>
                </c:pt>
                <c:pt idx="7">
                  <c:v>-124856.4234742738</c:v>
                </c:pt>
                <c:pt idx="8">
                  <c:v>-102724.75243938841</c:v>
                </c:pt>
                <c:pt idx="9">
                  <c:v>-126537.48618826595</c:v>
                </c:pt>
                <c:pt idx="10">
                  <c:v>-109000.75471780649</c:v>
                </c:pt>
                <c:pt idx="11">
                  <c:v>-86726.382664112884</c:v>
                </c:pt>
                <c:pt idx="12">
                  <c:v>-65726.118185012965</c:v>
                </c:pt>
                <c:pt idx="13">
                  <c:v>-43062.274402524214</c:v>
                </c:pt>
                <c:pt idx="14">
                  <c:v>-20194.456025993073</c:v>
                </c:pt>
                <c:pt idx="15">
                  <c:v>1404.5957928499265</c:v>
                </c:pt>
                <c:pt idx="16">
                  <c:v>18672.616001139439</c:v>
                </c:pt>
              </c:numCache>
            </c:numRef>
          </c:yVal>
          <c:smooth val="0"/>
          <c:extLst>
            <c:ext xmlns:c16="http://schemas.microsoft.com/office/drawing/2014/chart" uri="{C3380CC4-5D6E-409C-BE32-E72D297353CC}">
              <c16:uniqueId val="{00000000-44BD-4306-8DB7-61E6BAB8C1C5}"/>
            </c:ext>
          </c:extLst>
        </c:ser>
        <c:dLbls>
          <c:showLegendKey val="0"/>
          <c:showVal val="0"/>
          <c:showCatName val="0"/>
          <c:showSerName val="0"/>
          <c:showPercent val="0"/>
          <c:showBubbleSize val="0"/>
        </c:dLbls>
        <c:axId val="660973576"/>
        <c:axId val="1"/>
      </c:scatterChart>
      <c:valAx>
        <c:axId val="66097357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Standjahre</a:t>
                </a:r>
              </a:p>
            </c:rich>
          </c:tx>
          <c:layout>
            <c:manualLayout>
              <c:xMode val="edge"/>
              <c:yMode val="edge"/>
              <c:x val="0.52178095200411512"/>
              <c:y val="0.9116405232810465"/>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1"/>
      </c:valAx>
      <c:valAx>
        <c:axId val="1"/>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8.1527057861485903E-3"/>
              <c:y val="0.44371887077107486"/>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660973576"/>
        <c:crosses val="autoZero"/>
        <c:crossBetween val="midCat"/>
      </c:valAx>
      <c:spPr>
        <a:solidFill>
          <a:srgbClr val="FFFFFF"/>
        </a:solidFill>
        <a:ln w="12700">
          <a:solidFill>
            <a:srgbClr val="808080"/>
          </a:solidFill>
          <a:prstDash val="solid"/>
        </a:ln>
      </c:spPr>
    </c:plotArea>
    <c:plotVisOnly val="1"/>
    <c:dispBlanksAs val="gap"/>
    <c:showDLblsOverMax val="0"/>
  </c:chart>
  <c:spPr>
    <a:gradFill rotWithShape="0">
      <a:gsLst>
        <a:gs pos="0">
          <a:srgbClr val="C0C0C0"/>
        </a:gs>
        <a:gs pos="100000">
          <a:srgbClr val="C0C0C0">
            <a:gamma/>
            <a:tint val="33725"/>
            <a:invGamma/>
          </a:srgbClr>
        </a:gs>
      </a:gsLst>
      <a:path path="rect">
        <a:fillToRect l="50000" t="50000" r="50000" b="50000"/>
      </a:path>
    </a:gra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81515648740341"/>
          <c:y val="0.15685534661952444"/>
          <c:w val="0.74464673209620713"/>
          <c:h val="0.72578829876491824"/>
        </c:manualLayout>
      </c:layout>
      <c:scatterChart>
        <c:scatterStyle val="lineMarker"/>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xVal>
            <c:numRef>
              <c:f>'Standard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'Standard Cashflow'!$C$26:$C$42</c:f>
              <c:numCache>
                <c:formatCode>\ #,##0\ "Fr."</c:formatCode>
                <c:ptCount val="17"/>
                <c:pt idx="0">
                  <c:v>-90890.014449999988</c:v>
                </c:pt>
                <c:pt idx="1">
                  <c:v>-100259.56031338332</c:v>
                </c:pt>
                <c:pt idx="2">
                  <c:v>-109760.93208953711</c:v>
                </c:pt>
                <c:pt idx="3">
                  <c:v>-184635.76350879166</c:v>
                </c:pt>
                <c:pt idx="4">
                  <c:v>-188625.62539126823</c:v>
                </c:pt>
                <c:pt idx="5">
                  <c:v>-167067.87717363582</c:v>
                </c:pt>
                <c:pt idx="6">
                  <c:v>-146790.68614512161</c:v>
                </c:pt>
                <c:pt idx="7">
                  <c:v>-124856.42347427388</c:v>
                </c:pt>
                <c:pt idx="8">
                  <c:v>-102724.75243938848</c:v>
                </c:pt>
                <c:pt idx="9">
                  <c:v>-126537.48618826605</c:v>
                </c:pt>
                <c:pt idx="10">
                  <c:v>-109000.75471780659</c:v>
                </c:pt>
                <c:pt idx="11">
                  <c:v>-86726.382664113014</c:v>
                </c:pt>
                <c:pt idx="12">
                  <c:v>-65726.118185013125</c:v>
                </c:pt>
                <c:pt idx="13">
                  <c:v>-43062.274402524403</c:v>
                </c:pt>
                <c:pt idx="14">
                  <c:v>-20194.456025993277</c:v>
                </c:pt>
                <c:pt idx="15">
                  <c:v>1404.5957928497082</c:v>
                </c:pt>
                <c:pt idx="16">
                  <c:v>18672.616001139206</c:v>
                </c:pt>
              </c:numCache>
            </c:numRef>
          </c:yVal>
          <c:smooth val="0"/>
          <c:extLst>
            <c:ext xmlns:c16="http://schemas.microsoft.com/office/drawing/2014/chart" uri="{C3380CC4-5D6E-409C-BE32-E72D297353CC}">
              <c16:uniqueId val="{00000000-7A43-4ED5-A962-2B13C24B11B6}"/>
            </c:ext>
          </c:extLst>
        </c:ser>
        <c:dLbls>
          <c:showLegendKey val="0"/>
          <c:showVal val="0"/>
          <c:showCatName val="0"/>
          <c:showSerName val="0"/>
          <c:showPercent val="0"/>
          <c:showBubbleSize val="0"/>
        </c:dLbls>
        <c:axId val="660980792"/>
        <c:axId val="1"/>
      </c:scatterChart>
      <c:valAx>
        <c:axId val="66098079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Standjahre</a:t>
                </a:r>
              </a:p>
            </c:rich>
          </c:tx>
          <c:layout>
            <c:manualLayout>
              <c:xMode val="edge"/>
              <c:yMode val="edge"/>
              <c:x val="0.52221989100892163"/>
              <c:y val="0.9118878153331270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1"/>
      </c:valAx>
      <c:valAx>
        <c:axId val="1"/>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8.0590043799384017E-3"/>
              <c:y val="0.4439804467672982"/>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660980792"/>
        <c:crosses val="autoZero"/>
        <c:crossBetween val="midCat"/>
      </c:valAx>
      <c:spPr>
        <a:solidFill>
          <a:srgbClr val="FFFFFF"/>
        </a:solidFill>
        <a:ln w="12700">
          <a:solidFill>
            <a:srgbClr val="808080"/>
          </a:solidFill>
          <a:prstDash val="solid"/>
        </a:ln>
      </c:spPr>
    </c:plotArea>
    <c:plotVisOnly val="1"/>
    <c:dispBlanksAs val="gap"/>
    <c:showDLblsOverMax val="0"/>
  </c:chart>
  <c:spPr>
    <a:gradFill rotWithShape="0">
      <a:gsLst>
        <a:gs pos="0">
          <a:srgbClr val="C0C0C0"/>
        </a:gs>
        <a:gs pos="100000">
          <a:srgbClr val="C0C0C0">
            <a:gamma/>
            <a:tint val="33725"/>
            <a:invGamma/>
          </a:srgbClr>
        </a:gs>
      </a:gsLst>
      <a:path path="rect">
        <a:fillToRect l="50000" t="50000" r="50000" b="50000"/>
      </a:path>
    </a:gra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CH"/>
              <a:t>Gliederung der Sachkosten</a:t>
            </a:r>
          </a:p>
        </c:rich>
      </c:tx>
      <c:layout>
        <c:manualLayout>
          <c:xMode val="edge"/>
          <c:yMode val="edge"/>
          <c:x val="0.34850289653690986"/>
          <c:y val="3.1496062992125984E-2"/>
        </c:manualLayout>
      </c:layout>
      <c:overlay val="0"/>
      <c:spPr>
        <a:noFill/>
        <a:ln w="25400">
          <a:noFill/>
        </a:ln>
      </c:spPr>
    </c:title>
    <c:autoTitleDeleted val="0"/>
    <c:plotArea>
      <c:layout>
        <c:manualLayout>
          <c:layoutTarget val="inner"/>
          <c:xMode val="edge"/>
          <c:yMode val="edge"/>
          <c:x val="0.27570093457943923"/>
          <c:y val="0.19154228855721392"/>
          <c:w val="0.49221183800623053"/>
          <c:h val="0.54975124378109452"/>
        </c:manualLayout>
      </c:layout>
      <c:barChart>
        <c:barDir val="bar"/>
        <c:grouping val="clustered"/>
        <c:varyColors val="0"/>
        <c:ser>
          <c:idx val="0"/>
          <c:order val="0"/>
          <c:tx>
            <c:strRef>
              <c:f>'Standard Ertragsphase'!$B$126</c:f>
              <c:strCache>
                <c:ptCount val="1"/>
                <c:pt idx="0">
                  <c:v>Standard</c:v>
                </c:pt>
              </c:strCache>
            </c:strRef>
          </c:tx>
          <c:spPr>
            <a:solidFill>
              <a:srgbClr val="000080"/>
            </a:solidFill>
            <a:ln w="12700">
              <a:solidFill>
                <a:srgbClr val="000000"/>
              </a:solidFill>
              <a:prstDash val="solid"/>
            </a:ln>
          </c:spPr>
          <c:invertIfNegative val="0"/>
          <c:cat>
            <c:strRef>
              <c:f>'Var Ertragsphase'!$A$127:$A$129</c:f>
              <c:strCache>
                <c:ptCount val="3"/>
                <c:pt idx="0">
                  <c:v>Abschreibung Kirschenanlage (inkl. Regendach mit 1x Folie, Einnetzung 1x, optionalem Hagelnetz und Bewässerungsanlage)</c:v>
                </c:pt>
                <c:pt idx="1">
                  <c:v>Maschinen und Geräte</c:v>
                </c:pt>
                <c:pt idx="2">
                  <c:v>übrige Kosten (aus Posten mit &lt; 10%)</c:v>
                </c:pt>
              </c:strCache>
            </c:strRef>
          </c:cat>
          <c:val>
            <c:numRef>
              <c:f>'Standard Ertragsphase'!$B$127:$B$129</c:f>
              <c:numCache>
                <c:formatCode>\ #,##0\ "Fr."</c:formatCode>
                <c:ptCount val="3"/>
                <c:pt idx="0">
                  <c:v>20052.49569093902</c:v>
                </c:pt>
                <c:pt idx="1">
                  <c:v>10932.607692307693</c:v>
                </c:pt>
                <c:pt idx="2">
                  <c:v>15209.488290770709</c:v>
                </c:pt>
              </c:numCache>
            </c:numRef>
          </c:val>
          <c:extLst>
            <c:ext xmlns:c16="http://schemas.microsoft.com/office/drawing/2014/chart" uri="{C3380CC4-5D6E-409C-BE32-E72D297353CC}">
              <c16:uniqueId val="{00000000-C2BF-4DB5-9FE8-50BB99CABD50}"/>
            </c:ext>
          </c:extLst>
        </c:ser>
        <c:ser>
          <c:idx val="1"/>
          <c:order val="1"/>
          <c:tx>
            <c:strRef>
              <c:f>'Var Ertragsphase'!$B$126</c:f>
              <c:strCache>
                <c:ptCount val="1"/>
                <c:pt idx="0">
                  <c:v>Variante</c:v>
                </c:pt>
              </c:strCache>
            </c:strRef>
          </c:tx>
          <c:spPr>
            <a:solidFill>
              <a:srgbClr val="FF66CC"/>
            </a:solidFill>
            <a:ln w="12700">
              <a:solidFill>
                <a:srgbClr val="000000"/>
              </a:solidFill>
              <a:prstDash val="solid"/>
            </a:ln>
          </c:spPr>
          <c:invertIfNegative val="0"/>
          <c:cat>
            <c:strRef>
              <c:f>'Var Ertragsphase'!$A$127:$A$129</c:f>
              <c:strCache>
                <c:ptCount val="3"/>
                <c:pt idx="0">
                  <c:v>Abschreibung Kirschenanlage (inkl. Regendach mit 1x Folie, Einnetzung 1x, optionalem Hagelnetz und Bewässerungsanlage)</c:v>
                </c:pt>
                <c:pt idx="1">
                  <c:v>Maschinen und Geräte</c:v>
                </c:pt>
                <c:pt idx="2">
                  <c:v>übrige Kosten (aus Posten mit &lt; 10%)</c:v>
                </c:pt>
              </c:strCache>
            </c:strRef>
          </c:cat>
          <c:val>
            <c:numRef>
              <c:f>'Var Ertragsphase'!$B$127:$B$129</c:f>
              <c:numCache>
                <c:formatCode>\ #,##0\ "Fr."</c:formatCode>
                <c:ptCount val="3"/>
                <c:pt idx="0">
                  <c:v>20052.49569093902</c:v>
                </c:pt>
                <c:pt idx="1">
                  <c:v>10932.607692307693</c:v>
                </c:pt>
                <c:pt idx="2">
                  <c:v>15209.488290770709</c:v>
                </c:pt>
              </c:numCache>
            </c:numRef>
          </c:val>
          <c:extLst>
            <c:ext xmlns:c16="http://schemas.microsoft.com/office/drawing/2014/chart" uri="{C3380CC4-5D6E-409C-BE32-E72D297353CC}">
              <c16:uniqueId val="{00000001-C2BF-4DB5-9FE8-50BB99CABD50}"/>
            </c:ext>
          </c:extLst>
        </c:ser>
        <c:dLbls>
          <c:showLegendKey val="0"/>
          <c:showVal val="0"/>
          <c:showCatName val="0"/>
          <c:showSerName val="0"/>
          <c:showPercent val="0"/>
          <c:showBubbleSize val="0"/>
        </c:dLbls>
        <c:gapWidth val="150"/>
        <c:axId val="660573288"/>
        <c:axId val="1"/>
      </c:barChart>
      <c:catAx>
        <c:axId val="6605732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660573288"/>
        <c:crosses val="max"/>
        <c:crossBetween val="between"/>
      </c:valAx>
      <c:spPr>
        <a:noFill/>
        <a:ln w="3175">
          <a:solidFill>
            <a:srgbClr val="000000"/>
          </a:solidFill>
          <a:prstDash val="solid"/>
        </a:ln>
      </c:spPr>
    </c:plotArea>
    <c:legend>
      <c:legendPos val="r"/>
      <c:layout>
        <c:manualLayout>
          <c:xMode val="edge"/>
          <c:yMode val="edge"/>
          <c:x val="0.77749427740969723"/>
          <c:y val="0.40769306480920658"/>
          <c:w val="0.16368303226802527"/>
          <c:h val="0.14230794467999192"/>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Arial"/>
                <a:ea typeface="Arial"/>
                <a:cs typeface="Arial"/>
              </a:defRPr>
            </a:pPr>
            <a:r>
              <a:rPr lang="de-CH" sz="1425" b="1" i="0" u="none" strike="noStrike" baseline="0">
                <a:solidFill>
                  <a:srgbClr val="000000"/>
                </a:solidFill>
                <a:latin typeface="Arial"/>
                <a:cs typeface="Arial"/>
              </a:rPr>
              <a:t>Produktionskosten- / </a:t>
            </a:r>
          </a:p>
          <a:p>
            <a:pPr>
              <a:defRPr sz="925" b="0" i="0" u="none" strike="noStrike" baseline="0">
                <a:solidFill>
                  <a:srgbClr val="000000"/>
                </a:solidFill>
                <a:latin typeface="Arial"/>
                <a:ea typeface="Arial"/>
                <a:cs typeface="Arial"/>
              </a:defRPr>
            </a:pPr>
            <a:r>
              <a:rPr lang="de-CH" sz="1425" b="1" i="0" u="none" strike="noStrike" baseline="0">
                <a:solidFill>
                  <a:srgbClr val="000000"/>
                </a:solidFill>
                <a:latin typeface="Arial"/>
                <a:cs typeface="Arial"/>
              </a:rPr>
              <a:t>Leistungsvergleich</a:t>
            </a:r>
          </a:p>
          <a:p>
            <a:pPr>
              <a:defRPr sz="925" b="0" i="0" u="none" strike="noStrike" baseline="0">
                <a:solidFill>
                  <a:srgbClr val="000000"/>
                </a:solidFill>
                <a:latin typeface="Arial"/>
                <a:ea typeface="Arial"/>
                <a:cs typeface="Arial"/>
              </a:defRPr>
            </a:pPr>
            <a:endParaRPr lang="de-CH" sz="1425" b="1" i="0" u="none" strike="noStrike" baseline="0">
              <a:solidFill>
                <a:srgbClr val="000000"/>
              </a:solidFill>
              <a:latin typeface="Arial"/>
              <a:cs typeface="Arial"/>
            </a:endParaRPr>
          </a:p>
          <a:p>
            <a:pPr>
              <a:defRPr sz="925" b="0" i="0" u="none" strike="noStrike" baseline="0">
                <a:solidFill>
                  <a:srgbClr val="000000"/>
                </a:solidFill>
                <a:latin typeface="Arial"/>
                <a:ea typeface="Arial"/>
                <a:cs typeface="Arial"/>
              </a:defRPr>
            </a:pPr>
            <a:r>
              <a:rPr lang="de-CH" sz="1425" b="1" i="0" u="none" strike="noStrike" baseline="0">
                <a:solidFill>
                  <a:srgbClr val="000080"/>
                </a:solidFill>
                <a:latin typeface="Arial"/>
                <a:cs typeface="Arial"/>
              </a:rPr>
              <a:t>Standard</a:t>
            </a:r>
            <a:endParaRPr lang="de-CH" sz="1425" b="1" i="1" u="none" strike="noStrike" baseline="0">
              <a:solidFill>
                <a:srgbClr val="000080"/>
              </a:solidFill>
              <a:latin typeface="Arial"/>
              <a:cs typeface="Arial"/>
            </a:endParaRPr>
          </a:p>
          <a:p>
            <a:pPr>
              <a:defRPr sz="925" b="0" i="0" u="none" strike="noStrike" baseline="0">
                <a:solidFill>
                  <a:srgbClr val="000000"/>
                </a:solidFill>
                <a:latin typeface="Arial"/>
                <a:ea typeface="Arial"/>
                <a:cs typeface="Arial"/>
              </a:defRPr>
            </a:pPr>
            <a:endParaRPr lang="de-CH" sz="1425" b="1" i="1" u="none" strike="noStrike" baseline="0">
              <a:solidFill>
                <a:srgbClr val="000080"/>
              </a:solidFill>
              <a:latin typeface="Arial"/>
              <a:cs typeface="Arial"/>
            </a:endParaRPr>
          </a:p>
        </c:rich>
      </c:tx>
      <c:layout>
        <c:manualLayout>
          <c:xMode val="edge"/>
          <c:yMode val="edge"/>
          <c:x val="0.31149130577427819"/>
          <c:y val="2.5408366584234777E-2"/>
        </c:manualLayout>
      </c:layout>
      <c:overlay val="0"/>
      <c:spPr>
        <a:noFill/>
        <a:ln w="25400">
          <a:noFill/>
        </a:ln>
      </c:spPr>
    </c:title>
    <c:autoTitleDeleted val="0"/>
    <c:plotArea>
      <c:layout>
        <c:manualLayout>
          <c:layoutTarget val="inner"/>
          <c:xMode val="edge"/>
          <c:yMode val="edge"/>
          <c:x val="0.17516636507393096"/>
          <c:y val="0.16338654675646841"/>
          <c:w val="0.76429549567173671"/>
          <c:h val="0.72097276493804863"/>
        </c:manualLayout>
      </c:layout>
      <c:barChart>
        <c:barDir val="col"/>
        <c:grouping val="clustered"/>
        <c:varyColors val="0"/>
        <c:ser>
          <c:idx val="0"/>
          <c:order val="0"/>
          <c:tx>
            <c:strRef>
              <c:f>'Standard Cashflow'!$D$25</c:f>
              <c:strCache>
                <c:ptCount val="1"/>
                <c:pt idx="0">
                  <c:v>Leistung</c:v>
                </c:pt>
              </c:strCache>
            </c:strRef>
          </c:tx>
          <c:spPr>
            <a:solidFill>
              <a:srgbClr val="00FFFF"/>
            </a:solidFill>
            <a:ln w="12700">
              <a:solidFill>
                <a:srgbClr val="000000"/>
              </a:solidFill>
              <a:prstDash val="solid"/>
            </a:ln>
          </c:spPr>
          <c:invertIfNegative val="0"/>
          <c:cat>
            <c:numRef>
              <c:f>'Standard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'Standard Cashflow'!$D$26:$D$42</c:f>
              <c:numCache>
                <c:formatCode>\ #,##0\ "Fr."</c:formatCode>
                <c:ptCount val="17"/>
                <c:pt idx="0">
                  <c:v>0</c:v>
                </c:pt>
                <c:pt idx="1">
                  <c:v>2700</c:v>
                </c:pt>
                <c:pt idx="2">
                  <c:v>2700</c:v>
                </c:pt>
                <c:pt idx="3">
                  <c:v>10781.099999999999</c:v>
                </c:pt>
                <c:pt idx="4">
                  <c:v>29636.999999999996</c:v>
                </c:pt>
                <c:pt idx="5">
                  <c:v>76500</c:v>
                </c:pt>
                <c:pt idx="6">
                  <c:v>76500</c:v>
                </c:pt>
                <c:pt idx="7">
                  <c:v>76500</c:v>
                </c:pt>
                <c:pt idx="8">
                  <c:v>76500</c:v>
                </c:pt>
                <c:pt idx="9">
                  <c:v>76500</c:v>
                </c:pt>
                <c:pt idx="10">
                  <c:v>76500</c:v>
                </c:pt>
                <c:pt idx="11">
                  <c:v>76500</c:v>
                </c:pt>
                <c:pt idx="12">
                  <c:v>76500</c:v>
                </c:pt>
                <c:pt idx="13">
                  <c:v>76500</c:v>
                </c:pt>
                <c:pt idx="14">
                  <c:v>76500</c:v>
                </c:pt>
                <c:pt idx="15">
                  <c:v>76500</c:v>
                </c:pt>
                <c:pt idx="16">
                  <c:v>76500</c:v>
                </c:pt>
              </c:numCache>
            </c:numRef>
          </c:val>
          <c:extLst>
            <c:ext xmlns:c16="http://schemas.microsoft.com/office/drawing/2014/chart" uri="{C3380CC4-5D6E-409C-BE32-E72D297353CC}">
              <c16:uniqueId val="{00000000-9D26-45E7-A05B-B6F2DADDE9A0}"/>
            </c:ext>
          </c:extLst>
        </c:ser>
        <c:ser>
          <c:idx val="1"/>
          <c:order val="1"/>
          <c:tx>
            <c:strRef>
              <c:f>'Standard Cashflow'!$E$25</c:f>
              <c:strCache>
                <c:ptCount val="1"/>
                <c:pt idx="0">
                  <c:v>Produktionskosten</c:v>
                </c:pt>
              </c:strCache>
            </c:strRef>
          </c:tx>
          <c:spPr>
            <a:solidFill>
              <a:srgbClr val="000080"/>
            </a:solidFill>
            <a:ln w="12700">
              <a:solidFill>
                <a:srgbClr val="000000"/>
              </a:solidFill>
              <a:prstDash val="solid"/>
            </a:ln>
          </c:spPr>
          <c:invertIfNegative val="0"/>
          <c:cat>
            <c:numRef>
              <c:f>'Standard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'Standard Cashflow'!$E$26:$E$42</c:f>
              <c:numCache>
                <c:formatCode>\ #,##0\ "Fr."</c:formatCode>
                <c:ptCount val="17"/>
                <c:pt idx="0">
                  <c:v>90890.014449999988</c:v>
                </c:pt>
                <c:pt idx="1">
                  <c:v>12069.545863383335</c:v>
                </c:pt>
                <c:pt idx="2">
                  <c:v>12201.371776153783</c:v>
                </c:pt>
                <c:pt idx="3">
                  <c:v>85655.931419254557</c:v>
                </c:pt>
                <c:pt idx="4">
                  <c:v>33626.861882476558</c:v>
                </c:pt>
                <c:pt idx="5">
                  <c:v>54942.251782367573</c:v>
                </c:pt>
                <c:pt idx="6">
                  <c:v>56222.808971485792</c:v>
                </c:pt>
                <c:pt idx="7">
                  <c:v>54565.737329152253</c:v>
                </c:pt>
                <c:pt idx="8">
                  <c:v>54368.328965114619</c:v>
                </c:pt>
                <c:pt idx="9">
                  <c:v>100312.73374887757</c:v>
                </c:pt>
                <c:pt idx="10">
                  <c:v>58963.268529540546</c:v>
                </c:pt>
                <c:pt idx="11">
                  <c:v>54225.627946306413</c:v>
                </c:pt>
                <c:pt idx="12">
                  <c:v>55499.735520900096</c:v>
                </c:pt>
                <c:pt idx="13">
                  <c:v>53836.15621751127</c:v>
                </c:pt>
                <c:pt idx="14">
                  <c:v>53632.181623468874</c:v>
                </c:pt>
                <c:pt idx="15">
                  <c:v>54900.948181157015</c:v>
                </c:pt>
                <c:pt idx="16">
                  <c:v>59231.979791710502</c:v>
                </c:pt>
              </c:numCache>
            </c:numRef>
          </c:val>
          <c:extLst>
            <c:ext xmlns:c16="http://schemas.microsoft.com/office/drawing/2014/chart" uri="{C3380CC4-5D6E-409C-BE32-E72D297353CC}">
              <c16:uniqueId val="{00000001-9D26-45E7-A05B-B6F2DADDE9A0}"/>
            </c:ext>
          </c:extLst>
        </c:ser>
        <c:dLbls>
          <c:showLegendKey val="0"/>
          <c:showVal val="0"/>
          <c:showCatName val="0"/>
          <c:showSerName val="0"/>
          <c:showPercent val="0"/>
          <c:showBubbleSize val="0"/>
        </c:dLbls>
        <c:gapWidth val="150"/>
        <c:axId val="660571320"/>
        <c:axId val="1"/>
      </c:barChart>
      <c:catAx>
        <c:axId val="660571320"/>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de-CH"/>
                  <a:t>Standjahre</a:t>
                </a:r>
              </a:p>
            </c:rich>
          </c:tx>
          <c:layout>
            <c:manualLayout>
              <c:xMode val="edge"/>
              <c:yMode val="edge"/>
              <c:x val="0.52991535433070869"/>
              <c:y val="0.91470119703245201"/>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de-CH"/>
                  <a:t>Fr. / ha</a:t>
                </a:r>
              </a:p>
            </c:rich>
          </c:tx>
          <c:layout>
            <c:manualLayout>
              <c:xMode val="edge"/>
              <c:yMode val="edge"/>
              <c:x val="3.4188156167979003E-2"/>
              <c:y val="0.50211769049100086"/>
            </c:manualLayout>
          </c:layout>
          <c:overlay val="0"/>
          <c:spPr>
            <a:noFill/>
            <a:ln w="25400">
              <a:noFill/>
            </a:ln>
          </c:spPr>
        </c:title>
        <c:numFmt formatCode="\ #,##0\ &quot;Fr.&quot;"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660571320"/>
        <c:crosses val="autoZero"/>
        <c:crossBetween val="between"/>
      </c:valAx>
      <c:spPr>
        <a:noFill/>
        <a:ln w="3175">
          <a:solidFill>
            <a:srgbClr val="000000"/>
          </a:solidFill>
          <a:prstDash val="solid"/>
        </a:ln>
      </c:spPr>
    </c:plotArea>
    <c:legend>
      <c:legendPos val="r"/>
      <c:layout>
        <c:manualLayout>
          <c:xMode val="edge"/>
          <c:yMode val="edge"/>
          <c:x val="0.24125049212598426"/>
          <c:y val="0.95953845725931664"/>
          <c:w val="0.53125098425196848"/>
          <c:h val="2.7938342967244734E-2"/>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de-CH"/>
              <a:t>Anteil Arbeit-, Kapital- und Sachkosten</a:t>
            </a:r>
          </a:p>
        </c:rich>
      </c:tx>
      <c:layout>
        <c:manualLayout>
          <c:xMode val="edge"/>
          <c:yMode val="edge"/>
          <c:x val="0.30840813314366239"/>
          <c:y val="3.7700340648908245E-2"/>
        </c:manualLayout>
      </c:layout>
      <c:overlay val="0"/>
      <c:spPr>
        <a:noFill/>
        <a:ln w="25400">
          <a:noFill/>
        </a:ln>
      </c:spPr>
    </c:title>
    <c:autoTitleDeleted val="0"/>
    <c:plotArea>
      <c:layout>
        <c:manualLayout>
          <c:layoutTarget val="inner"/>
          <c:xMode val="edge"/>
          <c:yMode val="edge"/>
          <c:x val="0.14108527131782947"/>
          <c:y val="0.19029850746268656"/>
          <c:w val="0.66511627906976745"/>
          <c:h val="0.62313432835820892"/>
        </c:manualLayout>
      </c:layout>
      <c:barChart>
        <c:barDir val="bar"/>
        <c:grouping val="clustered"/>
        <c:varyColors val="0"/>
        <c:ser>
          <c:idx val="0"/>
          <c:order val="0"/>
          <c:tx>
            <c:strRef>
              <c:f>'Standard Ertragsphase'!$B$92</c:f>
              <c:strCache>
                <c:ptCount val="1"/>
                <c:pt idx="0">
                  <c:v>Standard</c:v>
                </c:pt>
              </c:strCache>
            </c:strRef>
          </c:tx>
          <c:spPr>
            <a:solidFill>
              <a:srgbClr val="000080"/>
            </a:solidFill>
            <a:ln w="12700">
              <a:solidFill>
                <a:srgbClr val="000000"/>
              </a:solidFill>
              <a:prstDash val="solid"/>
            </a:ln>
          </c:spPr>
          <c:invertIfNegative val="0"/>
          <c:cat>
            <c:strRef>
              <c:f>'Var Ertragsphase'!$A$93:$A$95</c:f>
              <c:strCache>
                <c:ptCount val="3"/>
                <c:pt idx="0">
                  <c:v>Arbeitskosten</c:v>
                </c:pt>
                <c:pt idx="1">
                  <c:v>Kapitalkosten</c:v>
                </c:pt>
                <c:pt idx="2">
                  <c:v>Sachkosten</c:v>
                </c:pt>
              </c:strCache>
            </c:strRef>
          </c:cat>
          <c:val>
            <c:numRef>
              <c:f>'Standard Ertragsphase'!$B$93:$B$95</c:f>
              <c:numCache>
                <c:formatCode>\ #,##0\ "Fr."</c:formatCode>
                <c:ptCount val="3"/>
                <c:pt idx="0">
                  <c:v>27378.400000000001</c:v>
                </c:pt>
                <c:pt idx="1">
                  <c:v>2825.6695346214137</c:v>
                </c:pt>
                <c:pt idx="2">
                  <c:v>46194.591674017422</c:v>
                </c:pt>
              </c:numCache>
            </c:numRef>
          </c:val>
          <c:extLst>
            <c:ext xmlns:c16="http://schemas.microsoft.com/office/drawing/2014/chart" uri="{C3380CC4-5D6E-409C-BE32-E72D297353CC}">
              <c16:uniqueId val="{00000000-DDEF-4ED8-86F2-34FD2870636A}"/>
            </c:ext>
          </c:extLst>
        </c:ser>
        <c:ser>
          <c:idx val="1"/>
          <c:order val="1"/>
          <c:tx>
            <c:strRef>
              <c:f>'Var Ertragsphase'!$B$92</c:f>
              <c:strCache>
                <c:ptCount val="1"/>
                <c:pt idx="0">
                  <c:v>Variante</c:v>
                </c:pt>
              </c:strCache>
            </c:strRef>
          </c:tx>
          <c:spPr>
            <a:solidFill>
              <a:srgbClr val="FF66CC"/>
            </a:solidFill>
            <a:ln w="12700">
              <a:solidFill>
                <a:srgbClr val="000000"/>
              </a:solidFill>
              <a:prstDash val="solid"/>
            </a:ln>
          </c:spPr>
          <c:invertIfNegative val="0"/>
          <c:cat>
            <c:strRef>
              <c:f>'Var Ertragsphase'!$A$93:$A$95</c:f>
              <c:strCache>
                <c:ptCount val="3"/>
                <c:pt idx="0">
                  <c:v>Arbeitskosten</c:v>
                </c:pt>
                <c:pt idx="1">
                  <c:v>Kapitalkosten</c:v>
                </c:pt>
                <c:pt idx="2">
                  <c:v>Sachkosten</c:v>
                </c:pt>
              </c:strCache>
            </c:strRef>
          </c:cat>
          <c:val>
            <c:numRef>
              <c:f>'Var Ertragsphase'!$B$93:$B$95</c:f>
              <c:numCache>
                <c:formatCode>\ #,##0\ "Fr."</c:formatCode>
                <c:ptCount val="3"/>
                <c:pt idx="0">
                  <c:v>27378.400000000001</c:v>
                </c:pt>
                <c:pt idx="1">
                  <c:v>2825.6695346214137</c:v>
                </c:pt>
                <c:pt idx="2">
                  <c:v>46194.591674017422</c:v>
                </c:pt>
              </c:numCache>
            </c:numRef>
          </c:val>
          <c:extLst>
            <c:ext xmlns:c16="http://schemas.microsoft.com/office/drawing/2014/chart" uri="{C3380CC4-5D6E-409C-BE32-E72D297353CC}">
              <c16:uniqueId val="{00000001-DDEF-4ED8-86F2-34FD2870636A}"/>
            </c:ext>
          </c:extLst>
        </c:ser>
        <c:dLbls>
          <c:showLegendKey val="0"/>
          <c:showVal val="0"/>
          <c:showCatName val="0"/>
          <c:showSerName val="0"/>
          <c:showPercent val="0"/>
          <c:showBubbleSize val="0"/>
        </c:dLbls>
        <c:gapWidth val="100"/>
        <c:axId val="660576896"/>
        <c:axId val="1"/>
      </c:barChart>
      <c:catAx>
        <c:axId val="6605768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660576896"/>
        <c:crosses val="max"/>
        <c:crossBetween val="between"/>
      </c:valAx>
      <c:spPr>
        <a:noFill/>
        <a:ln w="3175">
          <a:solidFill>
            <a:srgbClr val="000000"/>
          </a:solidFill>
          <a:prstDash val="solid"/>
        </a:ln>
      </c:spPr>
    </c:plotArea>
    <c:legend>
      <c:legendPos val="r"/>
      <c:layout>
        <c:manualLayout>
          <c:xMode val="edge"/>
          <c:yMode val="edge"/>
          <c:x val="0.76336044826457761"/>
          <c:y val="0.34650455927051671"/>
          <c:w val="0.15903341280813177"/>
          <c:h val="0.27659574468085113"/>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200" verticalDpi="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Arial"/>
                <a:ea typeface="Arial"/>
                <a:cs typeface="Arial"/>
              </a:defRPr>
            </a:pPr>
            <a:r>
              <a:rPr lang="de-CH" sz="2025" b="1" i="0" u="none" strike="noStrike" baseline="0">
                <a:solidFill>
                  <a:srgbClr val="000000"/>
                </a:solidFill>
                <a:latin typeface="Arial"/>
                <a:cs typeface="Arial"/>
              </a:rPr>
              <a:t>Produktionskosten- / </a:t>
            </a:r>
          </a:p>
          <a:p>
            <a:pPr>
              <a:defRPr sz="1175" b="0" i="0" u="none" strike="noStrike" baseline="0">
                <a:solidFill>
                  <a:srgbClr val="000000"/>
                </a:solidFill>
                <a:latin typeface="Arial"/>
                <a:ea typeface="Arial"/>
                <a:cs typeface="Arial"/>
              </a:defRPr>
            </a:pPr>
            <a:r>
              <a:rPr lang="de-CH" sz="2025" b="1" i="0" u="none" strike="noStrike" baseline="0">
                <a:solidFill>
                  <a:srgbClr val="000000"/>
                </a:solidFill>
                <a:latin typeface="Arial"/>
                <a:cs typeface="Arial"/>
              </a:rPr>
              <a:t>Leistungsvergleich</a:t>
            </a:r>
            <a:endParaRPr lang="de-CH" sz="1875" b="1" i="0" u="none" strike="noStrike" baseline="0">
              <a:solidFill>
                <a:srgbClr val="000000"/>
              </a:solidFill>
              <a:latin typeface="Arial"/>
              <a:cs typeface="Arial"/>
            </a:endParaRPr>
          </a:p>
          <a:p>
            <a:pPr>
              <a:defRPr sz="1175" b="0" i="0" u="none" strike="noStrike" baseline="0">
                <a:solidFill>
                  <a:srgbClr val="000000"/>
                </a:solidFill>
                <a:latin typeface="Arial"/>
                <a:ea typeface="Arial"/>
                <a:cs typeface="Arial"/>
              </a:defRPr>
            </a:pPr>
            <a:endParaRPr lang="de-CH" sz="1875" b="1" i="0" u="none" strike="noStrike" baseline="0">
              <a:solidFill>
                <a:srgbClr val="000000"/>
              </a:solidFill>
              <a:latin typeface="Arial"/>
              <a:cs typeface="Arial"/>
            </a:endParaRPr>
          </a:p>
          <a:p>
            <a:pPr>
              <a:defRPr sz="1175" b="0" i="0" u="none" strike="noStrike" baseline="0">
                <a:solidFill>
                  <a:srgbClr val="000000"/>
                </a:solidFill>
                <a:latin typeface="Arial"/>
                <a:ea typeface="Arial"/>
                <a:cs typeface="Arial"/>
              </a:defRPr>
            </a:pPr>
            <a:r>
              <a:rPr lang="de-CH" sz="1875" b="1" i="0" u="none" strike="noStrike" baseline="0">
                <a:solidFill>
                  <a:srgbClr val="FF00FF"/>
                </a:solidFill>
                <a:latin typeface="Arial"/>
                <a:cs typeface="Arial"/>
              </a:rPr>
              <a:t>Variante</a:t>
            </a:r>
          </a:p>
        </c:rich>
      </c:tx>
      <c:layout>
        <c:manualLayout>
          <c:xMode val="edge"/>
          <c:yMode val="edge"/>
          <c:x val="0.29253973907295816"/>
          <c:y val="2.5446915567569482E-2"/>
        </c:manualLayout>
      </c:layout>
      <c:overlay val="0"/>
      <c:spPr>
        <a:noFill/>
        <a:ln w="25400">
          <a:noFill/>
        </a:ln>
      </c:spPr>
    </c:title>
    <c:autoTitleDeleted val="0"/>
    <c:plotArea>
      <c:layout>
        <c:manualLayout>
          <c:layoutTarget val="inner"/>
          <c:xMode val="edge"/>
          <c:yMode val="edge"/>
          <c:x val="0.20139672609012341"/>
          <c:y val="0.22538657998194792"/>
          <c:w val="0.78206611883172006"/>
          <c:h val="0.63859530994885239"/>
        </c:manualLayout>
      </c:layout>
      <c:barChart>
        <c:barDir val="col"/>
        <c:grouping val="clustered"/>
        <c:varyColors val="0"/>
        <c:ser>
          <c:idx val="2"/>
          <c:order val="0"/>
          <c:tx>
            <c:strRef>
              <c:f>'Var Cashflow'!$D$25</c:f>
              <c:strCache>
                <c:ptCount val="1"/>
                <c:pt idx="0">
                  <c:v>Leistung</c:v>
                </c:pt>
              </c:strCache>
            </c:strRef>
          </c:tx>
          <c:spPr>
            <a:solidFill>
              <a:srgbClr val="FF66CC"/>
            </a:solidFill>
            <a:ln w="12700">
              <a:solidFill>
                <a:srgbClr val="000000"/>
              </a:solidFill>
              <a:prstDash val="solid"/>
            </a:ln>
          </c:spPr>
          <c:invertIfNegative val="0"/>
          <c:cat>
            <c:numRef>
              <c:f>'Var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'Var Cashflow'!$D$26:$D$42</c:f>
              <c:numCache>
                <c:formatCode>\ #,##0\ "Fr."</c:formatCode>
                <c:ptCount val="17"/>
                <c:pt idx="0">
                  <c:v>0</c:v>
                </c:pt>
                <c:pt idx="1">
                  <c:v>2700</c:v>
                </c:pt>
                <c:pt idx="2">
                  <c:v>2700</c:v>
                </c:pt>
                <c:pt idx="3">
                  <c:v>10781.100000000002</c:v>
                </c:pt>
                <c:pt idx="4">
                  <c:v>29637.000000000004</c:v>
                </c:pt>
                <c:pt idx="5">
                  <c:v>76500.000000000015</c:v>
                </c:pt>
                <c:pt idx="6">
                  <c:v>76500.000000000015</c:v>
                </c:pt>
                <c:pt idx="7">
                  <c:v>76500.000000000015</c:v>
                </c:pt>
                <c:pt idx="8">
                  <c:v>76500.000000000015</c:v>
                </c:pt>
                <c:pt idx="9">
                  <c:v>76500.000000000015</c:v>
                </c:pt>
                <c:pt idx="10">
                  <c:v>76500.000000000015</c:v>
                </c:pt>
                <c:pt idx="11">
                  <c:v>76500.000000000015</c:v>
                </c:pt>
                <c:pt idx="12">
                  <c:v>76500.000000000015</c:v>
                </c:pt>
                <c:pt idx="13">
                  <c:v>76500.000000000015</c:v>
                </c:pt>
                <c:pt idx="14">
                  <c:v>76500.000000000015</c:v>
                </c:pt>
                <c:pt idx="15">
                  <c:v>76500.000000000015</c:v>
                </c:pt>
                <c:pt idx="16">
                  <c:v>76500.000000000015</c:v>
                </c:pt>
              </c:numCache>
            </c:numRef>
          </c:val>
          <c:extLst>
            <c:ext xmlns:c16="http://schemas.microsoft.com/office/drawing/2014/chart" uri="{C3380CC4-5D6E-409C-BE32-E72D297353CC}">
              <c16:uniqueId val="{00000000-714F-463D-B3DE-2235D921FF30}"/>
            </c:ext>
          </c:extLst>
        </c:ser>
        <c:ser>
          <c:idx val="3"/>
          <c:order val="1"/>
          <c:tx>
            <c:strRef>
              <c:f>'Var Cashflow'!$E$25</c:f>
              <c:strCache>
                <c:ptCount val="1"/>
                <c:pt idx="0">
                  <c:v>Produktionskosten</c:v>
                </c:pt>
              </c:strCache>
            </c:strRef>
          </c:tx>
          <c:spPr>
            <a:solidFill>
              <a:srgbClr val="CC00CC"/>
            </a:solidFill>
            <a:ln w="12700">
              <a:solidFill>
                <a:srgbClr val="000000"/>
              </a:solidFill>
              <a:prstDash val="solid"/>
            </a:ln>
          </c:spPr>
          <c:invertIfNegative val="0"/>
          <c:cat>
            <c:numRef>
              <c:f>'Var Cashflow'!$B$26:$B$42</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cat>
          <c:val>
            <c:numRef>
              <c:f>'Var Cashflow'!$E$26:$E$42</c:f>
              <c:numCache>
                <c:formatCode>\ #,##0\ "Fr."</c:formatCode>
                <c:ptCount val="17"/>
                <c:pt idx="0">
                  <c:v>90890.014449999988</c:v>
                </c:pt>
                <c:pt idx="1">
                  <c:v>12069.545863383335</c:v>
                </c:pt>
                <c:pt idx="2">
                  <c:v>12201.371776153783</c:v>
                </c:pt>
                <c:pt idx="3">
                  <c:v>85655.931419254557</c:v>
                </c:pt>
                <c:pt idx="4">
                  <c:v>33626.861882476558</c:v>
                </c:pt>
                <c:pt idx="5">
                  <c:v>54942.251782367573</c:v>
                </c:pt>
                <c:pt idx="6">
                  <c:v>56222.808971485792</c:v>
                </c:pt>
                <c:pt idx="7">
                  <c:v>54565.737329152253</c:v>
                </c:pt>
                <c:pt idx="8">
                  <c:v>54368.328965114619</c:v>
                </c:pt>
                <c:pt idx="9">
                  <c:v>100312.73374887757</c:v>
                </c:pt>
                <c:pt idx="10">
                  <c:v>58963.268529540546</c:v>
                </c:pt>
                <c:pt idx="11">
                  <c:v>54225.627946306413</c:v>
                </c:pt>
                <c:pt idx="12">
                  <c:v>55499.735520900096</c:v>
                </c:pt>
                <c:pt idx="13">
                  <c:v>53836.15621751127</c:v>
                </c:pt>
                <c:pt idx="14">
                  <c:v>53632.181623468874</c:v>
                </c:pt>
                <c:pt idx="15">
                  <c:v>54900.948181157015</c:v>
                </c:pt>
                <c:pt idx="16">
                  <c:v>59231.979791710502</c:v>
                </c:pt>
              </c:numCache>
            </c:numRef>
          </c:val>
          <c:extLst>
            <c:ext xmlns:c16="http://schemas.microsoft.com/office/drawing/2014/chart" uri="{C3380CC4-5D6E-409C-BE32-E72D297353CC}">
              <c16:uniqueId val="{00000001-714F-463D-B3DE-2235D921FF30}"/>
            </c:ext>
          </c:extLst>
        </c:ser>
        <c:dLbls>
          <c:showLegendKey val="0"/>
          <c:showVal val="0"/>
          <c:showCatName val="0"/>
          <c:showSerName val="0"/>
          <c:showPercent val="0"/>
          <c:showBubbleSize val="0"/>
        </c:dLbls>
        <c:gapWidth val="150"/>
        <c:axId val="660569352"/>
        <c:axId val="1"/>
      </c:barChart>
      <c:catAx>
        <c:axId val="660569352"/>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de-CH"/>
                  <a:t>Standjahre</a:t>
                </a:r>
              </a:p>
            </c:rich>
          </c:tx>
          <c:layout>
            <c:manualLayout>
              <c:xMode val="edge"/>
              <c:yMode val="edge"/>
              <c:x val="0.53362772654640656"/>
              <c:y val="0.9063933666922299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de-CH"/>
                  <a:t>Fr. / ha</a:t>
                </a:r>
              </a:p>
            </c:rich>
          </c:tx>
          <c:layout>
            <c:manualLayout>
              <c:xMode val="edge"/>
              <c:yMode val="edge"/>
              <c:x val="3.6751342818089054E-2"/>
              <c:y val="0.51257260875177491"/>
            </c:manualLayout>
          </c:layout>
          <c:overlay val="0"/>
          <c:spPr>
            <a:noFill/>
            <a:ln w="25400">
              <a:noFill/>
            </a:ln>
          </c:spPr>
        </c:title>
        <c:numFmt formatCode="#,##0\ \F\r."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660569352"/>
        <c:crosses val="autoZero"/>
        <c:crossBetween val="between"/>
      </c:valAx>
      <c:spPr>
        <a:noFill/>
        <a:ln w="3175">
          <a:solidFill>
            <a:srgbClr val="000000"/>
          </a:solidFill>
          <a:prstDash val="solid"/>
        </a:ln>
      </c:spPr>
    </c:plotArea>
    <c:legend>
      <c:legendPos val="r"/>
      <c:layout>
        <c:manualLayout>
          <c:xMode val="edge"/>
          <c:yMode val="edge"/>
          <c:x val="0.36797082057896796"/>
          <c:y val="0.94117710334424198"/>
          <c:w val="0.43398549050561824"/>
          <c:h val="2.7965284474445462E-2"/>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de-CH"/>
              <a:t>Gliederung der Kapitalkosten</a:t>
            </a:r>
          </a:p>
        </c:rich>
      </c:tx>
      <c:layout>
        <c:manualLayout>
          <c:xMode val="edge"/>
          <c:yMode val="edge"/>
          <c:x val="0.3380934582544271"/>
          <c:y val="4.1408287078869239E-2"/>
        </c:manualLayout>
      </c:layout>
      <c:overlay val="0"/>
      <c:spPr>
        <a:noFill/>
        <a:ln w="25400">
          <a:noFill/>
        </a:ln>
      </c:spPr>
    </c:title>
    <c:autoTitleDeleted val="0"/>
    <c:plotArea>
      <c:layout>
        <c:manualLayout>
          <c:layoutTarget val="inner"/>
          <c:xMode val="edge"/>
          <c:yMode val="edge"/>
          <c:x val="0.16518718641451177"/>
          <c:y val="0.17805428023067557"/>
          <c:w val="0.64531069085295256"/>
          <c:h val="0.66666835156136661"/>
        </c:manualLayout>
      </c:layout>
      <c:barChart>
        <c:barDir val="bar"/>
        <c:grouping val="clustered"/>
        <c:varyColors val="0"/>
        <c:ser>
          <c:idx val="0"/>
          <c:order val="0"/>
          <c:tx>
            <c:strRef>
              <c:f>'Standard Ertragsphase'!$B$99</c:f>
              <c:strCache>
                <c:ptCount val="1"/>
                <c:pt idx="0">
                  <c:v>Standard</c:v>
                </c:pt>
              </c:strCache>
            </c:strRef>
          </c:tx>
          <c:spPr>
            <a:solidFill>
              <a:srgbClr val="000080"/>
            </a:solidFill>
            <a:ln w="12700">
              <a:solidFill>
                <a:srgbClr val="000000"/>
              </a:solidFill>
              <a:prstDash val="solid"/>
            </a:ln>
          </c:spPr>
          <c:invertIfNegative val="0"/>
          <c:cat>
            <c:strRef>
              <c:f>'Var Ertragsphase'!$A$100:$A$101</c:f>
              <c:strCache>
                <c:ptCount val="2"/>
                <c:pt idx="0">
                  <c:v>für Boden</c:v>
                </c:pt>
                <c:pt idx="1">
                  <c:v>für Investition Kirschenanlage </c:v>
                </c:pt>
              </c:strCache>
            </c:strRef>
          </c:cat>
          <c:val>
            <c:numRef>
              <c:f>'Standard Ertragsphase'!$B$100:$B$101</c:f>
              <c:numCache>
                <c:formatCode>\ #,##0\ "Fr."</c:formatCode>
                <c:ptCount val="2"/>
                <c:pt idx="0">
                  <c:v>660</c:v>
                </c:pt>
                <c:pt idx="1">
                  <c:v>2165.6695346214137</c:v>
                </c:pt>
              </c:numCache>
            </c:numRef>
          </c:val>
          <c:extLst>
            <c:ext xmlns:c16="http://schemas.microsoft.com/office/drawing/2014/chart" uri="{C3380CC4-5D6E-409C-BE32-E72D297353CC}">
              <c16:uniqueId val="{00000000-C430-41A6-8BFF-F340267CE0F3}"/>
            </c:ext>
          </c:extLst>
        </c:ser>
        <c:ser>
          <c:idx val="1"/>
          <c:order val="1"/>
          <c:tx>
            <c:strRef>
              <c:f>'Var Ertragsphase'!$B$99</c:f>
              <c:strCache>
                <c:ptCount val="1"/>
                <c:pt idx="0">
                  <c:v>Variante</c:v>
                </c:pt>
              </c:strCache>
            </c:strRef>
          </c:tx>
          <c:spPr>
            <a:solidFill>
              <a:srgbClr val="FF66CC"/>
            </a:solidFill>
            <a:ln w="12700">
              <a:solidFill>
                <a:srgbClr val="000000"/>
              </a:solidFill>
              <a:prstDash val="solid"/>
            </a:ln>
          </c:spPr>
          <c:invertIfNegative val="0"/>
          <c:cat>
            <c:strRef>
              <c:f>'Var Ertragsphase'!$A$100:$A$101</c:f>
              <c:strCache>
                <c:ptCount val="2"/>
                <c:pt idx="0">
                  <c:v>für Boden</c:v>
                </c:pt>
                <c:pt idx="1">
                  <c:v>für Investition Kirschenanlage </c:v>
                </c:pt>
              </c:strCache>
            </c:strRef>
          </c:cat>
          <c:val>
            <c:numRef>
              <c:f>'Var Ertragsphase'!$B$100:$B$101</c:f>
              <c:numCache>
                <c:formatCode>\ #,##0\ "Fr."</c:formatCode>
                <c:ptCount val="2"/>
                <c:pt idx="0">
                  <c:v>660</c:v>
                </c:pt>
                <c:pt idx="1">
                  <c:v>2165.6695346214137</c:v>
                </c:pt>
              </c:numCache>
            </c:numRef>
          </c:val>
          <c:extLst>
            <c:ext xmlns:c16="http://schemas.microsoft.com/office/drawing/2014/chart" uri="{C3380CC4-5D6E-409C-BE32-E72D297353CC}">
              <c16:uniqueId val="{00000001-C430-41A6-8BFF-F340267CE0F3}"/>
            </c:ext>
          </c:extLst>
        </c:ser>
        <c:dLbls>
          <c:showLegendKey val="0"/>
          <c:showVal val="0"/>
          <c:showCatName val="0"/>
          <c:showSerName val="0"/>
          <c:showPercent val="0"/>
          <c:showBubbleSize val="0"/>
        </c:dLbls>
        <c:gapWidth val="150"/>
        <c:axId val="660571976"/>
        <c:axId val="1"/>
      </c:barChart>
      <c:catAx>
        <c:axId val="6605719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660571976"/>
        <c:crosses val="max"/>
        <c:crossBetween val="between"/>
      </c:valAx>
      <c:spPr>
        <a:noFill/>
        <a:ln w="3175">
          <a:solidFill>
            <a:srgbClr val="000000"/>
          </a:solidFill>
          <a:prstDash val="solid"/>
        </a:ln>
      </c:spPr>
    </c:plotArea>
    <c:legend>
      <c:legendPos val="r"/>
      <c:layout>
        <c:manualLayout>
          <c:xMode val="edge"/>
          <c:yMode val="edge"/>
          <c:x val="0.77215272932655576"/>
          <c:y val="0.43606772514091474"/>
          <c:w val="0.16455712814379209"/>
          <c:h val="0.27541112688782754"/>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de-CH"/>
              <a:t>Gliederung der Arbeitskosten</a:t>
            </a:r>
          </a:p>
        </c:rich>
      </c:tx>
      <c:layout>
        <c:manualLayout>
          <c:xMode val="edge"/>
          <c:yMode val="edge"/>
          <c:x val="0.35955113094939567"/>
          <c:y val="4.5082148822306302E-2"/>
        </c:manualLayout>
      </c:layout>
      <c:overlay val="0"/>
      <c:spPr>
        <a:noFill/>
        <a:ln w="25400">
          <a:noFill/>
        </a:ln>
      </c:spPr>
    </c:title>
    <c:autoTitleDeleted val="0"/>
    <c:plotArea>
      <c:layout>
        <c:manualLayout>
          <c:layoutTarget val="inner"/>
          <c:xMode val="edge"/>
          <c:yMode val="edge"/>
          <c:x val="0.22781910592715154"/>
          <c:y val="0.15573848405923843"/>
          <c:w val="0.58427076826215063"/>
          <c:h val="0.63115069855586092"/>
        </c:manualLayout>
      </c:layout>
      <c:barChart>
        <c:barDir val="bar"/>
        <c:grouping val="clustered"/>
        <c:varyColors val="0"/>
        <c:ser>
          <c:idx val="0"/>
          <c:order val="0"/>
          <c:tx>
            <c:strRef>
              <c:f>'Standard Ertragsphase'!$B$119</c:f>
              <c:strCache>
                <c:ptCount val="1"/>
                <c:pt idx="0">
                  <c:v>Standard</c:v>
                </c:pt>
              </c:strCache>
            </c:strRef>
          </c:tx>
          <c:spPr>
            <a:solidFill>
              <a:srgbClr val="000080"/>
            </a:solidFill>
            <a:ln w="12700">
              <a:solidFill>
                <a:srgbClr val="000000"/>
              </a:solidFill>
              <a:prstDash val="solid"/>
            </a:ln>
          </c:spPr>
          <c:invertIfNegative val="0"/>
          <c:cat>
            <c:strRef>
              <c:f>'Var Ertragsphase'!$A$120:$A$122</c:f>
              <c:strCache>
                <c:ptCount val="3"/>
                <c:pt idx="0">
                  <c:v>Ernte (inkl. Sortieren ohne kalibrieren)</c:v>
                </c:pt>
                <c:pt idx="1">
                  <c:v>Baumerziehung (Sommer + Winter)</c:v>
                </c:pt>
                <c:pt idx="2">
                  <c:v>übrige Arbeiten (aus Posten &lt; 10%)</c:v>
                </c:pt>
              </c:strCache>
            </c:strRef>
          </c:cat>
          <c:val>
            <c:numRef>
              <c:f>'Standard Ertragsphase'!$B$120:$B$122</c:f>
              <c:numCache>
                <c:formatCode>\ #,##0\ "Fr."</c:formatCode>
                <c:ptCount val="3"/>
                <c:pt idx="0">
                  <c:v>18850</c:v>
                </c:pt>
                <c:pt idx="1">
                  <c:v>3270.0000000000005</c:v>
                </c:pt>
                <c:pt idx="2">
                  <c:v>5258.4</c:v>
                </c:pt>
              </c:numCache>
            </c:numRef>
          </c:val>
          <c:extLst>
            <c:ext xmlns:c16="http://schemas.microsoft.com/office/drawing/2014/chart" uri="{C3380CC4-5D6E-409C-BE32-E72D297353CC}">
              <c16:uniqueId val="{00000000-F10D-404D-8AEF-A4B1214EF454}"/>
            </c:ext>
          </c:extLst>
        </c:ser>
        <c:ser>
          <c:idx val="1"/>
          <c:order val="1"/>
          <c:tx>
            <c:strRef>
              <c:f>'Var Ertragsphase'!$B$119</c:f>
              <c:strCache>
                <c:ptCount val="1"/>
                <c:pt idx="0">
                  <c:v>Variante</c:v>
                </c:pt>
              </c:strCache>
            </c:strRef>
          </c:tx>
          <c:spPr>
            <a:solidFill>
              <a:srgbClr val="FF66CC"/>
            </a:solidFill>
            <a:ln w="12700">
              <a:solidFill>
                <a:srgbClr val="000000"/>
              </a:solidFill>
              <a:prstDash val="solid"/>
            </a:ln>
          </c:spPr>
          <c:invertIfNegative val="0"/>
          <c:cat>
            <c:strRef>
              <c:f>'Var Ertragsphase'!$A$120:$A$122</c:f>
              <c:strCache>
                <c:ptCount val="3"/>
                <c:pt idx="0">
                  <c:v>Ernte (inkl. Sortieren ohne kalibrieren)</c:v>
                </c:pt>
                <c:pt idx="1">
                  <c:v>Baumerziehung (Sommer + Winter)</c:v>
                </c:pt>
                <c:pt idx="2">
                  <c:v>übrige Arbeiten (aus Posten &lt; 10%)</c:v>
                </c:pt>
              </c:strCache>
            </c:strRef>
          </c:cat>
          <c:val>
            <c:numRef>
              <c:f>'Var Ertragsphase'!$B$120:$B$122</c:f>
              <c:numCache>
                <c:formatCode>\ #,##0\ "Fr."</c:formatCode>
                <c:ptCount val="3"/>
                <c:pt idx="0">
                  <c:v>18850</c:v>
                </c:pt>
                <c:pt idx="1">
                  <c:v>3270.0000000000005</c:v>
                </c:pt>
                <c:pt idx="2">
                  <c:v>5258.4</c:v>
                </c:pt>
              </c:numCache>
            </c:numRef>
          </c:val>
          <c:extLst>
            <c:ext xmlns:c16="http://schemas.microsoft.com/office/drawing/2014/chart" uri="{C3380CC4-5D6E-409C-BE32-E72D297353CC}">
              <c16:uniqueId val="{00000001-F10D-404D-8AEF-A4B1214EF454}"/>
            </c:ext>
          </c:extLst>
        </c:ser>
        <c:dLbls>
          <c:showLegendKey val="0"/>
          <c:showVal val="0"/>
          <c:showCatName val="0"/>
          <c:showSerName val="0"/>
          <c:showPercent val="0"/>
          <c:showBubbleSize val="0"/>
        </c:dLbls>
        <c:gapWidth val="150"/>
        <c:axId val="660983088"/>
        <c:axId val="1"/>
      </c:barChart>
      <c:catAx>
        <c:axId val="6609830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625" b="0" i="0" u="none" strike="noStrike" baseline="0">
                <a:solidFill>
                  <a:srgbClr val="000000"/>
                </a:solidFill>
                <a:latin typeface="Arial"/>
                <a:ea typeface="Arial"/>
                <a:cs typeface="Arial"/>
              </a:defRPr>
            </a:pPr>
            <a:endParaRPr lang="de-DE"/>
          </a:p>
        </c:txPr>
        <c:crossAx val="660983088"/>
        <c:crosses val="max"/>
        <c:crossBetween val="between"/>
      </c:valAx>
      <c:spPr>
        <a:noFill/>
        <a:ln w="3175">
          <a:solidFill>
            <a:srgbClr val="000000"/>
          </a:solidFill>
          <a:prstDash val="solid"/>
        </a:ln>
      </c:spPr>
    </c:plotArea>
    <c:legend>
      <c:legendPos val="r"/>
      <c:layout>
        <c:manualLayout>
          <c:xMode val="edge"/>
          <c:yMode val="edge"/>
          <c:x val="0.80891870204122573"/>
          <c:y val="0.3863640624467396"/>
          <c:w val="0.15668823244228236"/>
          <c:h val="0.27272769881037595"/>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CH"/>
              <a:t>Gliederung der Pflanzenschutzkosten</a:t>
            </a:r>
          </a:p>
        </c:rich>
      </c:tx>
      <c:layout>
        <c:manualLayout>
          <c:xMode val="edge"/>
          <c:yMode val="edge"/>
          <c:x val="0.29291020947222363"/>
          <c:y val="3.1119174156767692E-2"/>
        </c:manualLayout>
      </c:layout>
      <c:overlay val="0"/>
      <c:spPr>
        <a:noFill/>
        <a:ln w="25400">
          <a:noFill/>
        </a:ln>
      </c:spPr>
    </c:title>
    <c:autoTitleDeleted val="0"/>
    <c:plotArea>
      <c:layout>
        <c:manualLayout>
          <c:layoutTarget val="inner"/>
          <c:xMode val="edge"/>
          <c:yMode val="edge"/>
          <c:x val="0.14568024460647785"/>
          <c:y val="0.15559567915754852"/>
          <c:w val="0.66795941941906345"/>
          <c:h val="0.71813390380407005"/>
        </c:manualLayout>
      </c:layout>
      <c:barChart>
        <c:barDir val="bar"/>
        <c:grouping val="clustered"/>
        <c:varyColors val="0"/>
        <c:ser>
          <c:idx val="0"/>
          <c:order val="0"/>
          <c:tx>
            <c:strRef>
              <c:f>'Standard Ertragsphase'!$B$140</c:f>
              <c:strCache>
                <c:ptCount val="1"/>
                <c:pt idx="0">
                  <c:v>Standard</c:v>
                </c:pt>
              </c:strCache>
            </c:strRef>
          </c:tx>
          <c:spPr>
            <a:solidFill>
              <a:srgbClr val="000080"/>
            </a:solidFill>
            <a:ln w="12700">
              <a:solidFill>
                <a:srgbClr val="000000"/>
              </a:solidFill>
              <a:prstDash val="solid"/>
            </a:ln>
          </c:spPr>
          <c:invertIfNegative val="0"/>
          <c:cat>
            <c:strRef>
              <c:f>'Var Ertragsphase'!$A$157:$A$159</c:f>
              <c:strCache>
                <c:ptCount val="3"/>
                <c:pt idx="0">
                  <c:v>Zusammenfassung</c:v>
                </c:pt>
                <c:pt idx="1">
                  <c:v>Material</c:v>
                </c:pt>
                <c:pt idx="2">
                  <c:v>Maschinen</c:v>
                </c:pt>
              </c:strCache>
            </c:strRef>
          </c:cat>
          <c:val>
            <c:numRef>
              <c:f>'Standard Ertragsphase'!$B$158:$B$160</c:f>
              <c:numCache>
                <c:formatCode>\ #,##0\ "Fr."</c:formatCode>
                <c:ptCount val="3"/>
                <c:pt idx="0">
                  <c:v>1860.2999999999997</c:v>
                </c:pt>
                <c:pt idx="1">
                  <c:v>1342</c:v>
                </c:pt>
                <c:pt idx="2">
                  <c:v>1144.5</c:v>
                </c:pt>
              </c:numCache>
            </c:numRef>
          </c:val>
          <c:extLst>
            <c:ext xmlns:c16="http://schemas.microsoft.com/office/drawing/2014/chart" uri="{C3380CC4-5D6E-409C-BE32-E72D297353CC}">
              <c16:uniqueId val="{00000000-DD77-47E6-96A2-DF631619B5F2}"/>
            </c:ext>
          </c:extLst>
        </c:ser>
        <c:ser>
          <c:idx val="1"/>
          <c:order val="1"/>
          <c:tx>
            <c:strRef>
              <c:f>'Var Ertragsphase'!$B$140</c:f>
              <c:strCache>
                <c:ptCount val="1"/>
                <c:pt idx="0">
                  <c:v>Variante</c:v>
                </c:pt>
              </c:strCache>
            </c:strRef>
          </c:tx>
          <c:spPr>
            <a:solidFill>
              <a:srgbClr val="FF66CC"/>
            </a:solidFill>
            <a:ln w="12700">
              <a:solidFill>
                <a:srgbClr val="000000"/>
              </a:solidFill>
              <a:prstDash val="solid"/>
            </a:ln>
          </c:spPr>
          <c:invertIfNegative val="0"/>
          <c:cat>
            <c:strRef>
              <c:f>'Var Ertragsphase'!$A$157:$A$159</c:f>
              <c:strCache>
                <c:ptCount val="3"/>
                <c:pt idx="0">
                  <c:v>Zusammenfassung</c:v>
                </c:pt>
                <c:pt idx="1">
                  <c:v>Material</c:v>
                </c:pt>
                <c:pt idx="2">
                  <c:v>Maschinen</c:v>
                </c:pt>
              </c:strCache>
            </c:strRef>
          </c:cat>
          <c:val>
            <c:numRef>
              <c:f>'Var Ertragsphase'!$B$157:$B$159</c:f>
              <c:numCache>
                <c:formatCode>\ #,##0\ "Fr."</c:formatCode>
                <c:ptCount val="3"/>
                <c:pt idx="1">
                  <c:v>1860.2999999999997</c:v>
                </c:pt>
                <c:pt idx="2">
                  <c:v>1342</c:v>
                </c:pt>
              </c:numCache>
            </c:numRef>
          </c:val>
          <c:extLst>
            <c:ext xmlns:c16="http://schemas.microsoft.com/office/drawing/2014/chart" uri="{C3380CC4-5D6E-409C-BE32-E72D297353CC}">
              <c16:uniqueId val="{00000001-DD77-47E6-96A2-DF631619B5F2}"/>
            </c:ext>
          </c:extLst>
        </c:ser>
        <c:dLbls>
          <c:showLegendKey val="0"/>
          <c:showVal val="0"/>
          <c:showCatName val="0"/>
          <c:showSerName val="0"/>
          <c:showPercent val="0"/>
          <c:showBubbleSize val="0"/>
        </c:dLbls>
        <c:gapWidth val="100"/>
        <c:axId val="660984400"/>
        <c:axId val="1"/>
      </c:barChart>
      <c:catAx>
        <c:axId val="6609844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660984400"/>
        <c:crosses val="max"/>
        <c:crossBetween val="between"/>
      </c:valAx>
      <c:spPr>
        <a:noFill/>
        <a:ln w="3175">
          <a:solidFill>
            <a:srgbClr val="000000"/>
          </a:solidFill>
          <a:prstDash val="solid"/>
        </a:ln>
      </c:spPr>
    </c:plotArea>
    <c:legend>
      <c:legendPos val="r"/>
      <c:layout>
        <c:manualLayout>
          <c:xMode val="edge"/>
          <c:yMode val="edge"/>
          <c:x val="0.79363207783740408"/>
          <c:y val="0.43021157967108797"/>
          <c:w val="0.16178377384355613"/>
          <c:h val="0.16061235653382716"/>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CH"/>
              <a:t>Anteil der Pflanzenschutzkosten</a:t>
            </a:r>
          </a:p>
        </c:rich>
      </c:tx>
      <c:layout>
        <c:manualLayout>
          <c:xMode val="edge"/>
          <c:yMode val="edge"/>
          <c:x val="0.32142852366384139"/>
          <c:y val="3.2581556048008969E-2"/>
        </c:manualLayout>
      </c:layout>
      <c:overlay val="0"/>
      <c:spPr>
        <a:noFill/>
        <a:ln w="25400">
          <a:noFill/>
        </a:ln>
      </c:spPr>
    </c:title>
    <c:autoTitleDeleted val="0"/>
    <c:plotArea>
      <c:layout>
        <c:manualLayout>
          <c:layoutTarget val="inner"/>
          <c:xMode val="edge"/>
          <c:yMode val="edge"/>
          <c:x val="0.21118012422360249"/>
          <c:y val="0.18797021235065867"/>
          <c:w val="0.62422360248447206"/>
          <c:h val="0.69674292044644148"/>
        </c:manualLayout>
      </c:layout>
      <c:barChart>
        <c:barDir val="bar"/>
        <c:grouping val="clustered"/>
        <c:varyColors val="0"/>
        <c:ser>
          <c:idx val="0"/>
          <c:order val="0"/>
          <c:tx>
            <c:strRef>
              <c:f>'Standard Ertragsphase'!$B$140</c:f>
              <c:strCache>
                <c:ptCount val="1"/>
                <c:pt idx="0">
                  <c:v>Standard</c:v>
                </c:pt>
              </c:strCache>
            </c:strRef>
          </c:tx>
          <c:spPr>
            <a:solidFill>
              <a:srgbClr val="000080"/>
            </a:solidFill>
            <a:ln w="12700">
              <a:solidFill>
                <a:srgbClr val="000000"/>
              </a:solidFill>
              <a:prstDash val="solid"/>
            </a:ln>
          </c:spPr>
          <c:invertIfNegative val="0"/>
          <c:cat>
            <c:strRef>
              <c:f>'Var Ertragsphase'!$A$153:$A$154</c:f>
              <c:strCache>
                <c:ptCount val="2"/>
                <c:pt idx="1">
                  <c:v>Total Pflanzenschutz</c:v>
                </c:pt>
              </c:strCache>
            </c:strRef>
          </c:cat>
          <c:val>
            <c:numRef>
              <c:f>'Standard Ertragsphase'!$B$154:$B$155</c:f>
              <c:numCache>
                <c:formatCode>\ #,##0\ "Fr."</c:formatCode>
                <c:ptCount val="2"/>
                <c:pt idx="0">
                  <c:v>4346.7999999999993</c:v>
                </c:pt>
                <c:pt idx="1">
                  <c:v>72051.861208638831</c:v>
                </c:pt>
              </c:numCache>
            </c:numRef>
          </c:val>
          <c:extLst>
            <c:ext xmlns:c16="http://schemas.microsoft.com/office/drawing/2014/chart" uri="{C3380CC4-5D6E-409C-BE32-E72D297353CC}">
              <c16:uniqueId val="{00000000-435E-4325-A3AE-39679BA77464}"/>
            </c:ext>
          </c:extLst>
        </c:ser>
        <c:ser>
          <c:idx val="1"/>
          <c:order val="1"/>
          <c:tx>
            <c:strRef>
              <c:f>'Var Ertragsphase'!$B$140</c:f>
              <c:strCache>
                <c:ptCount val="1"/>
                <c:pt idx="0">
                  <c:v>Variante</c:v>
                </c:pt>
              </c:strCache>
            </c:strRef>
          </c:tx>
          <c:spPr>
            <a:solidFill>
              <a:srgbClr val="FF66CC"/>
            </a:solidFill>
            <a:ln w="12700">
              <a:solidFill>
                <a:srgbClr val="000000"/>
              </a:solidFill>
              <a:prstDash val="solid"/>
            </a:ln>
          </c:spPr>
          <c:invertIfNegative val="0"/>
          <c:cat>
            <c:strRef>
              <c:f>'Var Ertragsphase'!$A$153:$A$154</c:f>
              <c:strCache>
                <c:ptCount val="2"/>
                <c:pt idx="1">
                  <c:v>Total Pflanzenschutz</c:v>
                </c:pt>
              </c:strCache>
            </c:strRef>
          </c:cat>
          <c:val>
            <c:numRef>
              <c:f>'Var Ertragsphase'!$B$153:$B$154</c:f>
              <c:numCache>
                <c:formatCode>\ #,##0\ "Fr."</c:formatCode>
                <c:ptCount val="2"/>
                <c:pt idx="1">
                  <c:v>4346.7999999999993</c:v>
                </c:pt>
              </c:numCache>
            </c:numRef>
          </c:val>
          <c:extLst>
            <c:ext xmlns:c16="http://schemas.microsoft.com/office/drawing/2014/chart" uri="{C3380CC4-5D6E-409C-BE32-E72D297353CC}">
              <c16:uniqueId val="{00000001-435E-4325-A3AE-39679BA77464}"/>
            </c:ext>
          </c:extLst>
        </c:ser>
        <c:dLbls>
          <c:showLegendKey val="0"/>
          <c:showVal val="0"/>
          <c:showCatName val="0"/>
          <c:showSerName val="0"/>
          <c:showPercent val="0"/>
          <c:showBubbleSize val="0"/>
        </c:dLbls>
        <c:gapWidth val="150"/>
        <c:axId val="660986040"/>
        <c:axId val="1"/>
      </c:barChart>
      <c:catAx>
        <c:axId val="6609860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660986040"/>
        <c:crosses val="max"/>
        <c:crossBetween val="between"/>
      </c:valAx>
      <c:spPr>
        <a:noFill/>
        <a:ln w="3175">
          <a:solidFill>
            <a:srgbClr val="000000"/>
          </a:solidFill>
          <a:prstDash val="solid"/>
        </a:ln>
      </c:spPr>
    </c:plotArea>
    <c:legend>
      <c:legendPos val="r"/>
      <c:layout>
        <c:manualLayout>
          <c:xMode val="edge"/>
          <c:yMode val="edge"/>
          <c:x val="0.78344099503485631"/>
          <c:y val="0.5109798775153106"/>
          <c:w val="0.15541434709196378"/>
          <c:h val="0.17564922648142034"/>
        </c:manualLayout>
      </c:layout>
      <c:overlay val="0"/>
      <c:spPr>
        <a:solidFill>
          <a:srgbClr val="FFFFFF"/>
        </a:solidFill>
        <a:ln w="3175">
          <a:solidFill>
            <a:srgbClr val="000000"/>
          </a:solidFill>
          <a:prstDash val="solid"/>
        </a:ln>
      </c:spPr>
      <c:txPr>
        <a:bodyPr/>
        <a:lstStyle/>
        <a:p>
          <a:pPr>
            <a:defRPr sz="9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4</xdr:col>
      <xdr:colOff>76200</xdr:colOff>
      <xdr:row>13</xdr:row>
      <xdr:rowOff>10582</xdr:rowOff>
    </xdr:from>
    <xdr:to>
      <xdr:col>10</xdr:col>
      <xdr:colOff>0</xdr:colOff>
      <xdr:row>34</xdr:row>
      <xdr:rowOff>76199</xdr:rowOff>
    </xdr:to>
    <xdr:graphicFrame macro="">
      <xdr:nvGraphicFramePr>
        <xdr:cNvPr id="5131954" name="Chart 2">
          <a:extLst>
            <a:ext uri="{FF2B5EF4-FFF2-40B4-BE49-F238E27FC236}">
              <a16:creationId xmlns:a16="http://schemas.microsoft.com/office/drawing/2014/main" id="{00000000-0008-0000-0000-0000B2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1333500</xdr:colOff>
      <xdr:row>39</xdr:row>
      <xdr:rowOff>76200</xdr:rowOff>
    </xdr:from>
    <xdr:to>
      <xdr:col>6</xdr:col>
      <xdr:colOff>7620</xdr:colOff>
      <xdr:row>42</xdr:row>
      <xdr:rowOff>68580</xdr:rowOff>
    </xdr:to>
    <xdr:grpSp>
      <xdr:nvGrpSpPr>
        <xdr:cNvPr id="5131957" name="Group 57">
          <a:extLst>
            <a:ext uri="{FF2B5EF4-FFF2-40B4-BE49-F238E27FC236}">
              <a16:creationId xmlns:a16="http://schemas.microsoft.com/office/drawing/2014/main" id="{00000000-0008-0000-0000-0000B54E4E00}"/>
            </a:ext>
          </a:extLst>
        </xdr:cNvPr>
        <xdr:cNvGrpSpPr>
          <a:grpSpLocks/>
        </xdr:cNvGrpSpPr>
      </xdr:nvGrpSpPr>
      <xdr:grpSpPr bwMode="auto">
        <a:xfrm>
          <a:off x="4846108" y="8828617"/>
          <a:ext cx="1162262" cy="606213"/>
          <a:chOff x="698" y="998"/>
          <a:chExt cx="102" cy="70"/>
        </a:xfrm>
      </xdr:grpSpPr>
      <xdr:sp macro="" textlink="">
        <xdr:nvSpPr>
          <xdr:cNvPr id="5131987" name="AutoShape 58">
            <a:extLst>
              <a:ext uri="{FF2B5EF4-FFF2-40B4-BE49-F238E27FC236}">
                <a16:creationId xmlns:a16="http://schemas.microsoft.com/office/drawing/2014/main" id="{00000000-0008-0000-0000-0000D34E4E00}"/>
              </a:ext>
            </a:extLst>
          </xdr:cNvPr>
          <xdr:cNvSpPr>
            <a:spLocks noChangeArrowheads="1"/>
          </xdr:cNvSpPr>
        </xdr:nvSpPr>
        <xdr:spPr bwMode="auto">
          <a:xfrm>
            <a:off x="698" y="998"/>
            <a:ext cx="102" cy="70"/>
          </a:xfrm>
          <a:prstGeom prst="flowChartDecision">
            <a:avLst/>
          </a:prstGeom>
          <a:solidFill>
            <a:srgbClr val="FFFF99"/>
          </a:solidFill>
          <a:ln w="9525">
            <a:solidFill>
              <a:srgbClr val="000000"/>
            </a:solidFill>
            <a:miter lim="800000"/>
            <a:headEnd/>
            <a:tailEnd/>
          </a:ln>
        </xdr:spPr>
      </xdr:sp>
      <xdr:sp macro="" textlink="">
        <xdr:nvSpPr>
          <xdr:cNvPr id="22587" name="Text Box 59">
            <a:extLst>
              <a:ext uri="{FF2B5EF4-FFF2-40B4-BE49-F238E27FC236}">
                <a16:creationId xmlns:a16="http://schemas.microsoft.com/office/drawing/2014/main" id="{00000000-0008-0000-0000-00003B580000}"/>
              </a:ext>
            </a:extLst>
          </xdr:cNvPr>
          <xdr:cNvSpPr txBox="1">
            <a:spLocks noChangeArrowheads="1"/>
          </xdr:cNvSpPr>
        </xdr:nvSpPr>
        <xdr:spPr bwMode="auto">
          <a:xfrm>
            <a:off x="734" y="1014"/>
            <a:ext cx="34" cy="31"/>
          </a:xfrm>
          <a:prstGeom prst="rect">
            <a:avLst/>
          </a:prstGeom>
          <a:solidFill>
            <a:srgbClr val="FFFF99"/>
          </a:solidFill>
          <a:ln w="9525">
            <a:noFill/>
            <a:miter lim="800000"/>
            <a:headEnd/>
            <a:tailEnd/>
          </a:ln>
        </xdr:spPr>
        <xdr:txBody>
          <a:bodyPr vertOverflow="clip" wrap="square" lIns="45720" tIns="41148" rIns="45720" bIns="0" anchor="t" upright="1"/>
          <a:lstStyle/>
          <a:p>
            <a:pPr algn="ctr" rtl="0">
              <a:defRPr sz="1000"/>
            </a:pPr>
            <a:r>
              <a:rPr lang="de-CH" sz="2200" b="1" i="0" u="none" strike="noStrike" baseline="0">
                <a:solidFill>
                  <a:srgbClr val="000000"/>
                </a:solidFill>
                <a:latin typeface="Arial"/>
                <a:cs typeface="Arial"/>
              </a:rPr>
              <a:t>&gt;</a:t>
            </a:r>
          </a:p>
        </xdr:txBody>
      </xdr:sp>
    </xdr:grpSp>
    <xdr:clientData/>
  </xdr:twoCellAnchor>
  <xdr:twoCellAnchor editAs="oneCell">
    <xdr:from>
      <xdr:col>5</xdr:col>
      <xdr:colOff>640080</xdr:colOff>
      <xdr:row>37</xdr:row>
      <xdr:rowOff>542925</xdr:rowOff>
    </xdr:from>
    <xdr:to>
      <xdr:col>6</xdr:col>
      <xdr:colOff>1486014</xdr:colOff>
      <xdr:row>39</xdr:row>
      <xdr:rowOff>104777</xdr:rowOff>
    </xdr:to>
    <xdr:sp macro="" textlink="">
      <xdr:nvSpPr>
        <xdr:cNvPr id="22588" name="AutoShape 60">
          <a:extLst>
            <a:ext uri="{FF2B5EF4-FFF2-40B4-BE49-F238E27FC236}">
              <a16:creationId xmlns:a16="http://schemas.microsoft.com/office/drawing/2014/main" id="{00000000-0008-0000-0000-00003C580000}"/>
            </a:ext>
          </a:extLst>
        </xdr:cNvPr>
        <xdr:cNvSpPr>
          <a:spLocks/>
        </xdr:cNvSpPr>
      </xdr:nvSpPr>
      <xdr:spPr bwMode="auto">
        <a:xfrm flipV="1">
          <a:off x="6019800" y="8886825"/>
          <a:ext cx="1638300" cy="352425"/>
        </a:xfrm>
        <a:prstGeom prst="borderCallout1">
          <a:avLst>
            <a:gd name="adj1" fmla="val 67565"/>
            <a:gd name="adj2" fmla="val -4653"/>
            <a:gd name="adj3" fmla="val -45949"/>
            <a:gd name="adj4" fmla="val -16861"/>
          </a:avLst>
        </a:prstGeom>
        <a:solidFill>
          <a:srgbClr val="FFFFFF"/>
        </a:solidFill>
        <a:ln w="9525">
          <a:solidFill>
            <a:srgbClr val="000000"/>
          </a:solidFill>
          <a:miter lim="800000"/>
          <a:headEnd/>
          <a:tailEnd type="arrow" w="med" len="med"/>
        </a:ln>
      </xdr:spPr>
      <xdr:txBody>
        <a:bodyPr vertOverflow="clip" wrap="square" lIns="27432" tIns="0" rIns="27432" bIns="22860" anchor="b" upright="1"/>
        <a:lstStyle/>
        <a:p>
          <a:pPr algn="ctr" rtl="0">
            <a:defRPr sz="1000"/>
          </a:pPr>
          <a:r>
            <a:rPr lang="de-CH" sz="1000" b="0" i="0" u="none" strike="noStrike" baseline="0">
              <a:solidFill>
                <a:srgbClr val="000000"/>
              </a:solidFill>
              <a:latin typeface="Arial"/>
              <a:cs typeface="Arial"/>
            </a:rPr>
            <a:t>Leistung muss Betriebsminimum decken</a:t>
          </a:r>
        </a:p>
      </xdr:txBody>
    </xdr:sp>
    <xdr:clientData/>
  </xdr:twoCellAnchor>
  <xdr:twoCellAnchor>
    <xdr:from>
      <xdr:col>3</xdr:col>
      <xdr:colOff>1104900</xdr:colOff>
      <xdr:row>50</xdr:row>
      <xdr:rowOff>350520</xdr:rowOff>
    </xdr:from>
    <xdr:to>
      <xdr:col>5</xdr:col>
      <xdr:colOff>815340</xdr:colOff>
      <xdr:row>56</xdr:row>
      <xdr:rowOff>480060</xdr:rowOff>
    </xdr:to>
    <xdr:sp macro="" textlink="">
      <xdr:nvSpPr>
        <xdr:cNvPr id="5131959" name="Line 61">
          <a:extLst>
            <a:ext uri="{FF2B5EF4-FFF2-40B4-BE49-F238E27FC236}">
              <a16:creationId xmlns:a16="http://schemas.microsoft.com/office/drawing/2014/main" id="{00000000-0008-0000-0000-0000B74E4E00}"/>
            </a:ext>
          </a:extLst>
        </xdr:cNvPr>
        <xdr:cNvSpPr>
          <a:spLocks noChangeShapeType="1"/>
        </xdr:cNvSpPr>
      </xdr:nvSpPr>
      <xdr:spPr bwMode="auto">
        <a:xfrm flipV="1">
          <a:off x="4869180" y="11597640"/>
          <a:ext cx="1158240" cy="177546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403860</xdr:colOff>
      <xdr:row>42</xdr:row>
      <xdr:rowOff>99060</xdr:rowOff>
    </xdr:from>
    <xdr:to>
      <xdr:col>6</xdr:col>
      <xdr:colOff>0</xdr:colOff>
      <xdr:row>42</xdr:row>
      <xdr:rowOff>99060</xdr:rowOff>
    </xdr:to>
    <xdr:sp macro="" textlink="">
      <xdr:nvSpPr>
        <xdr:cNvPr id="5131960" name="Line 62">
          <a:extLst>
            <a:ext uri="{FF2B5EF4-FFF2-40B4-BE49-F238E27FC236}">
              <a16:creationId xmlns:a16="http://schemas.microsoft.com/office/drawing/2014/main" id="{00000000-0008-0000-0000-0000B84E4E00}"/>
            </a:ext>
          </a:extLst>
        </xdr:cNvPr>
        <xdr:cNvSpPr>
          <a:spLocks noChangeShapeType="1"/>
        </xdr:cNvSpPr>
      </xdr:nvSpPr>
      <xdr:spPr bwMode="auto">
        <a:xfrm flipH="1">
          <a:off x="5615940" y="9822180"/>
          <a:ext cx="4419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426720</xdr:colOff>
      <xdr:row>42</xdr:row>
      <xdr:rowOff>106680</xdr:rowOff>
    </xdr:from>
    <xdr:to>
      <xdr:col>6</xdr:col>
      <xdr:colOff>0</xdr:colOff>
      <xdr:row>50</xdr:row>
      <xdr:rowOff>228600</xdr:rowOff>
    </xdr:to>
    <xdr:sp macro="" textlink="">
      <xdr:nvSpPr>
        <xdr:cNvPr id="5131961" name="Line 63">
          <a:extLst>
            <a:ext uri="{FF2B5EF4-FFF2-40B4-BE49-F238E27FC236}">
              <a16:creationId xmlns:a16="http://schemas.microsoft.com/office/drawing/2014/main" id="{00000000-0008-0000-0000-0000B94E4E00}"/>
            </a:ext>
          </a:extLst>
        </xdr:cNvPr>
        <xdr:cNvSpPr>
          <a:spLocks noChangeShapeType="1"/>
        </xdr:cNvSpPr>
      </xdr:nvSpPr>
      <xdr:spPr bwMode="auto">
        <a:xfrm>
          <a:off x="5638800" y="9829800"/>
          <a:ext cx="419100" cy="164592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xdr:colOff>
      <xdr:row>62</xdr:row>
      <xdr:rowOff>106680</xdr:rowOff>
    </xdr:from>
    <xdr:to>
      <xdr:col>6</xdr:col>
      <xdr:colOff>0</xdr:colOff>
      <xdr:row>64</xdr:row>
      <xdr:rowOff>76200</xdr:rowOff>
    </xdr:to>
    <xdr:grpSp>
      <xdr:nvGrpSpPr>
        <xdr:cNvPr id="5131962" name="Group 64">
          <a:extLst>
            <a:ext uri="{FF2B5EF4-FFF2-40B4-BE49-F238E27FC236}">
              <a16:creationId xmlns:a16="http://schemas.microsoft.com/office/drawing/2014/main" id="{00000000-0008-0000-0000-0000BA4E4E00}"/>
            </a:ext>
          </a:extLst>
        </xdr:cNvPr>
        <xdr:cNvGrpSpPr>
          <a:grpSpLocks/>
        </xdr:cNvGrpSpPr>
      </xdr:nvGrpSpPr>
      <xdr:grpSpPr bwMode="auto">
        <a:xfrm>
          <a:off x="4854787" y="15082097"/>
          <a:ext cx="1145963" cy="752686"/>
          <a:chOff x="700" y="1603"/>
          <a:chExt cx="97" cy="70"/>
        </a:xfrm>
      </xdr:grpSpPr>
      <xdr:sp macro="" textlink="">
        <xdr:nvSpPr>
          <xdr:cNvPr id="5131985" name="AutoShape 65">
            <a:extLst>
              <a:ext uri="{FF2B5EF4-FFF2-40B4-BE49-F238E27FC236}">
                <a16:creationId xmlns:a16="http://schemas.microsoft.com/office/drawing/2014/main" id="{00000000-0008-0000-0000-0000D14E4E00}"/>
              </a:ext>
            </a:extLst>
          </xdr:cNvPr>
          <xdr:cNvSpPr>
            <a:spLocks noChangeArrowheads="1"/>
          </xdr:cNvSpPr>
        </xdr:nvSpPr>
        <xdr:spPr bwMode="auto">
          <a:xfrm>
            <a:off x="700" y="1603"/>
            <a:ext cx="97" cy="70"/>
          </a:xfrm>
          <a:prstGeom prst="flowChartDecision">
            <a:avLst/>
          </a:prstGeom>
          <a:solidFill>
            <a:srgbClr val="FFFF99"/>
          </a:solidFill>
          <a:ln w="9525">
            <a:solidFill>
              <a:srgbClr val="000000"/>
            </a:solidFill>
            <a:miter lim="800000"/>
            <a:headEnd/>
            <a:tailEnd/>
          </a:ln>
        </xdr:spPr>
      </xdr:sp>
      <xdr:sp macro="" textlink="">
        <xdr:nvSpPr>
          <xdr:cNvPr id="22594" name="Text Box 66">
            <a:extLst>
              <a:ext uri="{FF2B5EF4-FFF2-40B4-BE49-F238E27FC236}">
                <a16:creationId xmlns:a16="http://schemas.microsoft.com/office/drawing/2014/main" id="{00000000-0008-0000-0000-000042580000}"/>
              </a:ext>
            </a:extLst>
          </xdr:cNvPr>
          <xdr:cNvSpPr txBox="1">
            <a:spLocks noChangeArrowheads="1"/>
          </xdr:cNvSpPr>
        </xdr:nvSpPr>
        <xdr:spPr bwMode="auto">
          <a:xfrm>
            <a:off x="730" y="1619"/>
            <a:ext cx="37" cy="39"/>
          </a:xfrm>
          <a:prstGeom prst="rect">
            <a:avLst/>
          </a:prstGeom>
          <a:solidFill>
            <a:srgbClr val="FFFF99"/>
          </a:solidFill>
          <a:ln w="9525">
            <a:noFill/>
            <a:miter lim="800000"/>
            <a:headEnd/>
            <a:tailEnd/>
          </a:ln>
        </xdr:spPr>
        <xdr:txBody>
          <a:bodyPr vertOverflow="clip" wrap="square" lIns="45720" tIns="41148" rIns="45720" bIns="0" anchor="t" upright="1"/>
          <a:lstStyle/>
          <a:p>
            <a:pPr algn="ctr" rtl="0">
              <a:defRPr sz="1000"/>
            </a:pPr>
            <a:r>
              <a:rPr lang="de-CH" sz="2200" b="1" i="0" u="none" strike="noStrike" baseline="0">
                <a:solidFill>
                  <a:srgbClr val="000000"/>
                </a:solidFill>
                <a:latin typeface="Arial"/>
                <a:cs typeface="Arial"/>
              </a:rPr>
              <a:t>&lt;</a:t>
            </a:r>
          </a:p>
        </xdr:txBody>
      </xdr:sp>
    </xdr:grpSp>
    <xdr:clientData/>
  </xdr:twoCellAnchor>
  <xdr:twoCellAnchor editAs="oneCell">
    <xdr:from>
      <xdr:col>6</xdr:col>
      <xdr:colOff>95250</xdr:colOff>
      <xdr:row>55</xdr:row>
      <xdr:rowOff>156210</xdr:rowOff>
    </xdr:from>
    <xdr:to>
      <xdr:col>6</xdr:col>
      <xdr:colOff>1737272</xdr:colOff>
      <xdr:row>56</xdr:row>
      <xdr:rowOff>638092</xdr:rowOff>
    </xdr:to>
    <xdr:sp macro="" textlink="">
      <xdr:nvSpPr>
        <xdr:cNvPr id="22595" name="AutoShape 67">
          <a:extLst>
            <a:ext uri="{FF2B5EF4-FFF2-40B4-BE49-F238E27FC236}">
              <a16:creationId xmlns:a16="http://schemas.microsoft.com/office/drawing/2014/main" id="{00000000-0008-0000-0000-000043580000}"/>
            </a:ext>
          </a:extLst>
        </xdr:cNvPr>
        <xdr:cNvSpPr>
          <a:spLocks/>
        </xdr:cNvSpPr>
      </xdr:nvSpPr>
      <xdr:spPr bwMode="auto">
        <a:xfrm flipV="1">
          <a:off x="6305550" y="12906375"/>
          <a:ext cx="1590675" cy="666750"/>
        </a:xfrm>
        <a:prstGeom prst="borderCallout1">
          <a:avLst>
            <a:gd name="adj1" fmla="val 77356"/>
            <a:gd name="adj2" fmla="val -4792"/>
            <a:gd name="adj3" fmla="val -147171"/>
            <a:gd name="adj4" fmla="val -27546"/>
          </a:avLst>
        </a:prstGeom>
        <a:solidFill>
          <a:srgbClr val="FFFFFF"/>
        </a:solidFill>
        <a:ln w="9525">
          <a:solidFill>
            <a:srgbClr val="000000"/>
          </a:solidFill>
          <a:miter lim="800000"/>
          <a:headEnd/>
          <a:tailEnd type="arrow" w="med" len="med"/>
        </a:ln>
      </xdr:spPr>
      <xdr:txBody>
        <a:bodyPr vertOverflow="clip" wrap="square" lIns="27432" tIns="0" rIns="27432" bIns="22860" anchor="b" upright="1"/>
        <a:lstStyle/>
        <a:p>
          <a:pPr algn="ctr" rtl="0">
            <a:defRPr sz="1000"/>
          </a:pPr>
          <a:r>
            <a:rPr lang="de-CH" sz="1000" b="0" i="0" u="none" strike="noStrike" baseline="0">
              <a:solidFill>
                <a:srgbClr val="000000"/>
              </a:solidFill>
              <a:latin typeface="Arial"/>
              <a:cs typeface="Arial"/>
            </a:rPr>
            <a:t>Cashflow sollte Abschreibung decken</a:t>
          </a:r>
        </a:p>
      </xdr:txBody>
    </xdr:sp>
    <xdr:clientData/>
  </xdr:twoCellAnchor>
  <xdr:twoCellAnchor>
    <xdr:from>
      <xdr:col>3</xdr:col>
      <xdr:colOff>1333500</xdr:colOff>
      <xdr:row>69</xdr:row>
      <xdr:rowOff>0</xdr:rowOff>
    </xdr:from>
    <xdr:to>
      <xdr:col>6</xdr:col>
      <xdr:colOff>0</xdr:colOff>
      <xdr:row>69</xdr:row>
      <xdr:rowOff>129540</xdr:rowOff>
    </xdr:to>
    <xdr:sp macro="" textlink="">
      <xdr:nvSpPr>
        <xdr:cNvPr id="5131964" name="Line 71">
          <a:extLst>
            <a:ext uri="{FF2B5EF4-FFF2-40B4-BE49-F238E27FC236}">
              <a16:creationId xmlns:a16="http://schemas.microsoft.com/office/drawing/2014/main" id="{00000000-0008-0000-0000-0000BC4E4E00}"/>
            </a:ext>
          </a:extLst>
        </xdr:cNvPr>
        <xdr:cNvSpPr>
          <a:spLocks noChangeShapeType="1"/>
        </xdr:cNvSpPr>
      </xdr:nvSpPr>
      <xdr:spPr bwMode="auto">
        <a:xfrm flipV="1">
          <a:off x="4869180" y="17495520"/>
          <a:ext cx="1188720" cy="12954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1280160</xdr:colOff>
      <xdr:row>68</xdr:row>
      <xdr:rowOff>175260</xdr:rowOff>
    </xdr:from>
    <xdr:to>
      <xdr:col>5</xdr:col>
      <xdr:colOff>838200</xdr:colOff>
      <xdr:row>68</xdr:row>
      <xdr:rowOff>175260</xdr:rowOff>
    </xdr:to>
    <xdr:sp macro="" textlink="">
      <xdr:nvSpPr>
        <xdr:cNvPr id="5131965" name="Line 72">
          <a:extLst>
            <a:ext uri="{FF2B5EF4-FFF2-40B4-BE49-F238E27FC236}">
              <a16:creationId xmlns:a16="http://schemas.microsoft.com/office/drawing/2014/main" id="{00000000-0008-0000-0000-0000BD4E4E00}"/>
            </a:ext>
          </a:extLst>
        </xdr:cNvPr>
        <xdr:cNvSpPr>
          <a:spLocks noChangeShapeType="1"/>
        </xdr:cNvSpPr>
      </xdr:nvSpPr>
      <xdr:spPr bwMode="auto">
        <a:xfrm>
          <a:off x="4869180" y="17327880"/>
          <a:ext cx="118110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45720</xdr:colOff>
      <xdr:row>71</xdr:row>
      <xdr:rowOff>335280</xdr:rowOff>
    </xdr:from>
    <xdr:to>
      <xdr:col>6</xdr:col>
      <xdr:colOff>0</xdr:colOff>
      <xdr:row>71</xdr:row>
      <xdr:rowOff>335280</xdr:rowOff>
    </xdr:to>
    <xdr:sp macro="" textlink="">
      <xdr:nvSpPr>
        <xdr:cNvPr id="5131966" name="Line 73">
          <a:extLst>
            <a:ext uri="{FF2B5EF4-FFF2-40B4-BE49-F238E27FC236}">
              <a16:creationId xmlns:a16="http://schemas.microsoft.com/office/drawing/2014/main" id="{00000000-0008-0000-0000-0000BE4E4E00}"/>
            </a:ext>
          </a:extLst>
        </xdr:cNvPr>
        <xdr:cNvSpPr>
          <a:spLocks noChangeShapeType="1"/>
        </xdr:cNvSpPr>
      </xdr:nvSpPr>
      <xdr:spPr bwMode="auto">
        <a:xfrm>
          <a:off x="4914900" y="18409920"/>
          <a:ext cx="114300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45720</xdr:colOff>
      <xdr:row>71</xdr:row>
      <xdr:rowOff>495300</xdr:rowOff>
    </xdr:from>
    <xdr:to>
      <xdr:col>5</xdr:col>
      <xdr:colOff>822960</xdr:colOff>
      <xdr:row>72</xdr:row>
      <xdr:rowOff>114300</xdr:rowOff>
    </xdr:to>
    <xdr:sp macro="" textlink="">
      <xdr:nvSpPr>
        <xdr:cNvPr id="5131967" name="Line 74">
          <a:extLst>
            <a:ext uri="{FF2B5EF4-FFF2-40B4-BE49-F238E27FC236}">
              <a16:creationId xmlns:a16="http://schemas.microsoft.com/office/drawing/2014/main" id="{00000000-0008-0000-0000-0000BF4E4E00}"/>
            </a:ext>
          </a:extLst>
        </xdr:cNvPr>
        <xdr:cNvSpPr>
          <a:spLocks noChangeShapeType="1"/>
        </xdr:cNvSpPr>
      </xdr:nvSpPr>
      <xdr:spPr bwMode="auto">
        <a:xfrm flipV="1">
          <a:off x="4914900" y="18569940"/>
          <a:ext cx="1120140" cy="12192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45720</xdr:colOff>
      <xdr:row>120</xdr:row>
      <xdr:rowOff>30480</xdr:rowOff>
    </xdr:from>
    <xdr:to>
      <xdr:col>5</xdr:col>
      <xdr:colOff>792480</xdr:colOff>
      <xdr:row>143</xdr:row>
      <xdr:rowOff>60960</xdr:rowOff>
    </xdr:to>
    <xdr:graphicFrame macro="">
      <xdr:nvGraphicFramePr>
        <xdr:cNvPr id="5131968" name="Chart 88">
          <a:extLst>
            <a:ext uri="{FF2B5EF4-FFF2-40B4-BE49-F238E27FC236}">
              <a16:creationId xmlns:a16="http://schemas.microsoft.com/office/drawing/2014/main" id="{00000000-0008-0000-0000-0000C0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261</xdr:row>
      <xdr:rowOff>30480</xdr:rowOff>
    </xdr:from>
    <xdr:to>
      <xdr:col>6</xdr:col>
      <xdr:colOff>38100</xdr:colOff>
      <xdr:row>308</xdr:row>
      <xdr:rowOff>60960</xdr:rowOff>
    </xdr:to>
    <xdr:graphicFrame macro="">
      <xdr:nvGraphicFramePr>
        <xdr:cNvPr id="5131969" name="Chart 89">
          <a:extLst>
            <a:ext uri="{FF2B5EF4-FFF2-40B4-BE49-F238E27FC236}">
              <a16:creationId xmlns:a16="http://schemas.microsoft.com/office/drawing/2014/main" id="{00000000-0008-0000-0000-0000C1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80</xdr:row>
      <xdr:rowOff>99060</xdr:rowOff>
    </xdr:from>
    <xdr:to>
      <xdr:col>5</xdr:col>
      <xdr:colOff>815340</xdr:colOff>
      <xdr:row>90</xdr:row>
      <xdr:rowOff>220980</xdr:rowOff>
    </xdr:to>
    <xdr:graphicFrame macro="">
      <xdr:nvGraphicFramePr>
        <xdr:cNvPr id="5131970" name="Chart 90">
          <a:extLst>
            <a:ext uri="{FF2B5EF4-FFF2-40B4-BE49-F238E27FC236}">
              <a16:creationId xmlns:a16="http://schemas.microsoft.com/office/drawing/2014/main" id="{00000000-0008-0000-0000-0000C2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60960</xdr:colOff>
      <xdr:row>261</xdr:row>
      <xdr:rowOff>7620</xdr:rowOff>
    </xdr:from>
    <xdr:to>
      <xdr:col>11</xdr:col>
      <xdr:colOff>213360</xdr:colOff>
      <xdr:row>308</xdr:row>
      <xdr:rowOff>30480</xdr:rowOff>
    </xdr:to>
    <xdr:graphicFrame macro="">
      <xdr:nvGraphicFramePr>
        <xdr:cNvPr id="5131971" name="Chart 91">
          <a:extLst>
            <a:ext uri="{FF2B5EF4-FFF2-40B4-BE49-F238E27FC236}">
              <a16:creationId xmlns:a16="http://schemas.microsoft.com/office/drawing/2014/main" id="{00000000-0008-0000-0000-0000C3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xdr:colOff>
      <xdr:row>92</xdr:row>
      <xdr:rowOff>76200</xdr:rowOff>
    </xdr:from>
    <xdr:to>
      <xdr:col>5</xdr:col>
      <xdr:colOff>815340</xdr:colOff>
      <xdr:row>105</xdr:row>
      <xdr:rowOff>144780</xdr:rowOff>
    </xdr:to>
    <xdr:graphicFrame macro="">
      <xdr:nvGraphicFramePr>
        <xdr:cNvPr id="5131972" name="Chart 92">
          <a:extLst>
            <a:ext uri="{FF2B5EF4-FFF2-40B4-BE49-F238E27FC236}">
              <a16:creationId xmlns:a16="http://schemas.microsoft.com/office/drawing/2014/main" id="{00000000-0008-0000-0000-0000C4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106</xdr:row>
      <xdr:rowOff>45720</xdr:rowOff>
    </xdr:from>
    <xdr:to>
      <xdr:col>5</xdr:col>
      <xdr:colOff>807720</xdr:colOff>
      <xdr:row>119</xdr:row>
      <xdr:rowOff>106680</xdr:rowOff>
    </xdr:to>
    <xdr:graphicFrame macro="">
      <xdr:nvGraphicFramePr>
        <xdr:cNvPr id="5131973" name="Chart 93">
          <a:extLst>
            <a:ext uri="{FF2B5EF4-FFF2-40B4-BE49-F238E27FC236}">
              <a16:creationId xmlns:a16="http://schemas.microsoft.com/office/drawing/2014/main" id="{00000000-0008-0000-0000-0000C5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192</xdr:row>
      <xdr:rowOff>45720</xdr:rowOff>
    </xdr:from>
    <xdr:to>
      <xdr:col>5</xdr:col>
      <xdr:colOff>807720</xdr:colOff>
      <xdr:row>212</xdr:row>
      <xdr:rowOff>0</xdr:rowOff>
    </xdr:to>
    <xdr:graphicFrame macro="">
      <xdr:nvGraphicFramePr>
        <xdr:cNvPr id="5131974" name="Chart 94">
          <a:extLst>
            <a:ext uri="{FF2B5EF4-FFF2-40B4-BE49-F238E27FC236}">
              <a16:creationId xmlns:a16="http://schemas.microsoft.com/office/drawing/2014/main" id="{00000000-0008-0000-0000-0000C6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45720</xdr:colOff>
      <xdr:row>169</xdr:row>
      <xdr:rowOff>68580</xdr:rowOff>
    </xdr:from>
    <xdr:to>
      <xdr:col>5</xdr:col>
      <xdr:colOff>815340</xdr:colOff>
      <xdr:row>191</xdr:row>
      <xdr:rowOff>76200</xdr:rowOff>
    </xdr:to>
    <xdr:graphicFrame macro="">
      <xdr:nvGraphicFramePr>
        <xdr:cNvPr id="5131975" name="Chart 95">
          <a:extLst>
            <a:ext uri="{FF2B5EF4-FFF2-40B4-BE49-F238E27FC236}">
              <a16:creationId xmlns:a16="http://schemas.microsoft.com/office/drawing/2014/main" id="{00000000-0008-0000-0000-0000C7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213</xdr:row>
      <xdr:rowOff>38100</xdr:rowOff>
    </xdr:from>
    <xdr:to>
      <xdr:col>5</xdr:col>
      <xdr:colOff>769620</xdr:colOff>
      <xdr:row>236</xdr:row>
      <xdr:rowOff>129540</xdr:rowOff>
    </xdr:to>
    <xdr:graphicFrame macro="">
      <xdr:nvGraphicFramePr>
        <xdr:cNvPr id="5131976" name="Chart 96">
          <a:extLst>
            <a:ext uri="{FF2B5EF4-FFF2-40B4-BE49-F238E27FC236}">
              <a16:creationId xmlns:a16="http://schemas.microsoft.com/office/drawing/2014/main" id="{00000000-0008-0000-0000-0000C8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45720</xdr:colOff>
      <xdr:row>237</xdr:row>
      <xdr:rowOff>30480</xdr:rowOff>
    </xdr:from>
    <xdr:to>
      <xdr:col>5</xdr:col>
      <xdr:colOff>777240</xdr:colOff>
      <xdr:row>259</xdr:row>
      <xdr:rowOff>99060</xdr:rowOff>
    </xdr:to>
    <xdr:graphicFrame macro="">
      <xdr:nvGraphicFramePr>
        <xdr:cNvPr id="5131977" name="Chart 97">
          <a:extLst>
            <a:ext uri="{FF2B5EF4-FFF2-40B4-BE49-F238E27FC236}">
              <a16:creationId xmlns:a16="http://schemas.microsoft.com/office/drawing/2014/main" id="{00000000-0008-0000-0000-0000C9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38100</xdr:colOff>
      <xdr:row>145</xdr:row>
      <xdr:rowOff>68580</xdr:rowOff>
    </xdr:from>
    <xdr:to>
      <xdr:col>6</xdr:col>
      <xdr:colOff>0</xdr:colOff>
      <xdr:row>167</xdr:row>
      <xdr:rowOff>106680</xdr:rowOff>
    </xdr:to>
    <xdr:graphicFrame macro="">
      <xdr:nvGraphicFramePr>
        <xdr:cNvPr id="5131978" name="Chart 99">
          <a:extLst>
            <a:ext uri="{FF2B5EF4-FFF2-40B4-BE49-F238E27FC236}">
              <a16:creationId xmlns:a16="http://schemas.microsoft.com/office/drawing/2014/main" id="{00000000-0008-0000-0000-0000CA4E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xdr:row>
      <xdr:rowOff>0</xdr:rowOff>
    </xdr:from>
    <xdr:to>
      <xdr:col>0</xdr:col>
      <xdr:colOff>912610</xdr:colOff>
      <xdr:row>9</xdr:row>
      <xdr:rowOff>0</xdr:rowOff>
    </xdr:to>
    <xdr:sp macro="" textlink="">
      <xdr:nvSpPr>
        <xdr:cNvPr id="22643" name="Text Box 115">
          <a:extLst>
            <a:ext uri="{FF2B5EF4-FFF2-40B4-BE49-F238E27FC236}">
              <a16:creationId xmlns:a16="http://schemas.microsoft.com/office/drawing/2014/main" id="{00000000-0008-0000-0000-000073580000}"/>
            </a:ext>
          </a:extLst>
        </xdr:cNvPr>
        <xdr:cNvSpPr txBox="1">
          <a:spLocks noChangeArrowheads="1"/>
        </xdr:cNvSpPr>
      </xdr:nvSpPr>
      <xdr:spPr bwMode="auto">
        <a:xfrm>
          <a:off x="0" y="1666875"/>
          <a:ext cx="885825" cy="933450"/>
        </a:xfrm>
        <a:prstGeom prst="rect">
          <a:avLst/>
        </a:prstGeom>
        <a:solidFill>
          <a:srgbClr val="FFFFFF"/>
        </a:solidFill>
        <a:ln w="9525">
          <a:solidFill>
            <a:srgbClr val="FFFFFF"/>
          </a:solidFill>
          <a:miter lim="800000"/>
          <a:headEnd/>
          <a:tailEnd/>
        </a:ln>
      </xdr:spPr>
      <xdr:txBody>
        <a:bodyPr vertOverflow="clip" wrap="square" lIns="36576" tIns="27432" rIns="36576" bIns="27432" anchor="ctr" upright="1"/>
        <a:lstStyle/>
        <a:p>
          <a:pPr algn="ctr" rtl="0">
            <a:defRPr sz="1000"/>
          </a:pPr>
          <a:r>
            <a:rPr lang="de-CH" sz="1200" b="1" i="0" u="none" strike="noStrike" baseline="0">
              <a:solidFill>
                <a:srgbClr val="000000"/>
              </a:solidFill>
              <a:latin typeface="Arial"/>
              <a:cs typeface="Arial"/>
            </a:rPr>
            <a:t>Preis ohne Gebinde</a:t>
          </a:r>
        </a:p>
      </xdr:txBody>
    </xdr:sp>
    <xdr:clientData/>
  </xdr:twoCellAnchor>
  <xdr:twoCellAnchor>
    <xdr:from>
      <xdr:col>0</xdr:col>
      <xdr:colOff>28575</xdr:colOff>
      <xdr:row>9</xdr:row>
      <xdr:rowOff>0</xdr:rowOff>
    </xdr:from>
    <xdr:to>
      <xdr:col>0</xdr:col>
      <xdr:colOff>884166</xdr:colOff>
      <xdr:row>10</xdr:row>
      <xdr:rowOff>211667</xdr:rowOff>
    </xdr:to>
    <xdr:sp macro="" textlink="">
      <xdr:nvSpPr>
        <xdr:cNvPr id="22644" name="Text Box 116">
          <a:extLst>
            <a:ext uri="{FF2B5EF4-FFF2-40B4-BE49-F238E27FC236}">
              <a16:creationId xmlns:a16="http://schemas.microsoft.com/office/drawing/2014/main" id="{00000000-0008-0000-0000-000074580000}"/>
            </a:ext>
          </a:extLst>
        </xdr:cNvPr>
        <xdr:cNvSpPr txBox="1">
          <a:spLocks noChangeArrowheads="1"/>
        </xdr:cNvSpPr>
      </xdr:nvSpPr>
      <xdr:spPr bwMode="auto">
        <a:xfrm>
          <a:off x="28575" y="2476500"/>
          <a:ext cx="855591" cy="444500"/>
        </a:xfrm>
        <a:prstGeom prst="rect">
          <a:avLst/>
        </a:prstGeom>
        <a:solidFill>
          <a:srgbClr val="FFFFFF"/>
        </a:solidFill>
        <a:ln w="9525">
          <a:solidFill>
            <a:srgbClr val="FFFFFF"/>
          </a:solidFill>
          <a:miter lim="800000"/>
          <a:headEnd/>
          <a:tailEnd/>
        </a:ln>
      </xdr:spPr>
      <xdr:txBody>
        <a:bodyPr vertOverflow="clip" wrap="square" lIns="36576" tIns="27432" rIns="36576" bIns="27432" anchor="ctr" upright="1"/>
        <a:lstStyle/>
        <a:p>
          <a:pPr algn="ctr" rtl="0">
            <a:defRPr sz="1000"/>
          </a:pPr>
          <a:r>
            <a:rPr lang="de-CH" sz="1200" b="1" i="0" u="none" strike="noStrike" baseline="0">
              <a:solidFill>
                <a:srgbClr val="000000"/>
              </a:solidFill>
              <a:latin typeface="Arial"/>
              <a:cs typeface="Arial"/>
            </a:rPr>
            <a:t>Sortier-ergebnis</a:t>
          </a:r>
        </a:p>
      </xdr:txBody>
    </xdr:sp>
    <xdr:clientData/>
  </xdr:twoCellAnchor>
  <xdr:twoCellAnchor>
    <xdr:from>
      <xdr:col>0</xdr:col>
      <xdr:colOff>898467</xdr:colOff>
      <xdr:row>6</xdr:row>
      <xdr:rowOff>214746</xdr:rowOff>
    </xdr:from>
    <xdr:to>
      <xdr:col>0</xdr:col>
      <xdr:colOff>967047</xdr:colOff>
      <xdr:row>8</xdr:row>
      <xdr:rowOff>201583</xdr:rowOff>
    </xdr:to>
    <xdr:sp macro="" textlink="">
      <xdr:nvSpPr>
        <xdr:cNvPr id="5131981" name="AutoShape 169">
          <a:extLst>
            <a:ext uri="{FF2B5EF4-FFF2-40B4-BE49-F238E27FC236}">
              <a16:creationId xmlns:a16="http://schemas.microsoft.com/office/drawing/2014/main" id="{00000000-0008-0000-0000-0000CD4E4E00}"/>
            </a:ext>
          </a:extLst>
        </xdr:cNvPr>
        <xdr:cNvSpPr>
          <a:spLocks/>
        </xdr:cNvSpPr>
      </xdr:nvSpPr>
      <xdr:spPr bwMode="auto">
        <a:xfrm>
          <a:off x="898467" y="1662546"/>
          <a:ext cx="68580" cy="894310"/>
        </a:xfrm>
        <a:prstGeom prst="leftBrace">
          <a:avLst>
            <a:gd name="adj1" fmla="val 1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95</xdr:row>
      <xdr:rowOff>0</xdr:rowOff>
    </xdr:from>
    <xdr:to>
      <xdr:col>8</xdr:col>
      <xdr:colOff>0</xdr:colOff>
      <xdr:row>101</xdr:row>
      <xdr:rowOff>0</xdr:rowOff>
    </xdr:to>
    <xdr:sp macro="" textlink="">
      <xdr:nvSpPr>
        <xdr:cNvPr id="5131983" name="Rectangle 207">
          <a:extLst>
            <a:ext uri="{FF2B5EF4-FFF2-40B4-BE49-F238E27FC236}">
              <a16:creationId xmlns:a16="http://schemas.microsoft.com/office/drawing/2014/main" id="{00000000-0008-0000-0000-0000CF4E4E00}"/>
            </a:ext>
          </a:extLst>
        </xdr:cNvPr>
        <xdr:cNvSpPr>
          <a:spLocks noChangeArrowheads="1"/>
        </xdr:cNvSpPr>
      </xdr:nvSpPr>
      <xdr:spPr bwMode="auto">
        <a:xfrm>
          <a:off x="9113520" y="24147780"/>
          <a:ext cx="1021080" cy="1059180"/>
        </a:xfrm>
        <a:prstGeom prst="rect">
          <a:avLst/>
        </a:prstGeom>
        <a:noFill/>
        <a:ln w="38100">
          <a:solidFill>
            <a:srgbClr val="000080"/>
          </a:solidFill>
          <a:miter lim="800000"/>
          <a:headEnd/>
          <a:tailEnd/>
        </a:ln>
        <a:effectLst>
          <a:outerShdw sx="999" sy="999"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320040</xdr:colOff>
      <xdr:row>0</xdr:row>
      <xdr:rowOff>190500</xdr:rowOff>
    </xdr:from>
    <xdr:to>
      <xdr:col>9</xdr:col>
      <xdr:colOff>304800</xdr:colOff>
      <xdr:row>1</xdr:row>
      <xdr:rowOff>388620</xdr:rowOff>
    </xdr:to>
    <xdr:pic>
      <xdr:nvPicPr>
        <xdr:cNvPr id="5131984" name="Grafik 1">
          <a:extLst>
            <a:ext uri="{FF2B5EF4-FFF2-40B4-BE49-F238E27FC236}">
              <a16:creationId xmlns:a16="http://schemas.microsoft.com/office/drawing/2014/main" id="{00000000-0008-0000-0000-0000D04E4E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77940" y="190500"/>
          <a:ext cx="480822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898467</xdr:colOff>
      <xdr:row>9</xdr:row>
      <xdr:rowOff>22130</xdr:rowOff>
    </xdr:from>
    <xdr:to>
      <xdr:col>0</xdr:col>
      <xdr:colOff>967047</xdr:colOff>
      <xdr:row>11</xdr:row>
      <xdr:rowOff>8967</xdr:rowOff>
    </xdr:to>
    <xdr:sp macro="" textlink="">
      <xdr:nvSpPr>
        <xdr:cNvPr id="37" name="AutoShape 169">
          <a:extLst>
            <a:ext uri="{FF2B5EF4-FFF2-40B4-BE49-F238E27FC236}">
              <a16:creationId xmlns:a16="http://schemas.microsoft.com/office/drawing/2014/main" id="{A40F1B26-2550-4464-922A-CC35E65FB83F}"/>
            </a:ext>
          </a:extLst>
        </xdr:cNvPr>
        <xdr:cNvSpPr>
          <a:spLocks/>
        </xdr:cNvSpPr>
      </xdr:nvSpPr>
      <xdr:spPr bwMode="auto">
        <a:xfrm>
          <a:off x="898467" y="2498630"/>
          <a:ext cx="68580" cy="452504"/>
        </a:xfrm>
        <a:prstGeom prst="leftBrace">
          <a:avLst>
            <a:gd name="adj1" fmla="val 1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2878667</xdr:colOff>
      <xdr:row>22</xdr:row>
      <xdr:rowOff>105833</xdr:rowOff>
    </xdr:from>
    <xdr:to>
      <xdr:col>7</xdr:col>
      <xdr:colOff>486831</xdr:colOff>
      <xdr:row>32</xdr:row>
      <xdr:rowOff>52914</xdr:rowOff>
    </xdr:to>
    <xdr:sp macro="" textlink="">
      <xdr:nvSpPr>
        <xdr:cNvPr id="38" name="Line 11">
          <a:extLst>
            <a:ext uri="{FF2B5EF4-FFF2-40B4-BE49-F238E27FC236}">
              <a16:creationId xmlns:a16="http://schemas.microsoft.com/office/drawing/2014/main" id="{91D04A41-0BBD-403A-B9C8-68EACDBBBD68}"/>
            </a:ext>
          </a:extLst>
        </xdr:cNvPr>
        <xdr:cNvSpPr>
          <a:spLocks noChangeShapeType="1"/>
        </xdr:cNvSpPr>
      </xdr:nvSpPr>
      <xdr:spPr bwMode="auto">
        <a:xfrm flipH="1" flipV="1">
          <a:off x="8879417" y="5990166"/>
          <a:ext cx="582081" cy="130174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984249</xdr:colOff>
      <xdr:row>27</xdr:row>
      <xdr:rowOff>116417</xdr:rowOff>
    </xdr:from>
    <xdr:to>
      <xdr:col>6</xdr:col>
      <xdr:colOff>1333498</xdr:colOff>
      <xdr:row>32</xdr:row>
      <xdr:rowOff>84665</xdr:rowOff>
    </xdr:to>
    <xdr:sp macro="" textlink="">
      <xdr:nvSpPr>
        <xdr:cNvPr id="39" name="Line 11">
          <a:extLst>
            <a:ext uri="{FF2B5EF4-FFF2-40B4-BE49-F238E27FC236}">
              <a16:creationId xmlns:a16="http://schemas.microsoft.com/office/drawing/2014/main" id="{97B923AF-DF95-455C-8F54-01E7C8C49C94}"/>
            </a:ext>
          </a:extLst>
        </xdr:cNvPr>
        <xdr:cNvSpPr>
          <a:spLocks noChangeShapeType="1"/>
        </xdr:cNvSpPr>
      </xdr:nvSpPr>
      <xdr:spPr bwMode="auto">
        <a:xfrm flipH="1" flipV="1">
          <a:off x="6984999" y="6688667"/>
          <a:ext cx="349249" cy="63499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708660</xdr:colOff>
      <xdr:row>0</xdr:row>
      <xdr:rowOff>152400</xdr:rowOff>
    </xdr:from>
    <xdr:to>
      <xdr:col>6</xdr:col>
      <xdr:colOff>601980</xdr:colOff>
      <xdr:row>1</xdr:row>
      <xdr:rowOff>152400</xdr:rowOff>
    </xdr:to>
    <xdr:pic>
      <xdr:nvPicPr>
        <xdr:cNvPr id="5075" name="Grafik 2">
          <a:extLst>
            <a:ext uri="{FF2B5EF4-FFF2-40B4-BE49-F238E27FC236}">
              <a16:creationId xmlns:a16="http://schemas.microsoft.com/office/drawing/2014/main" id="{00000000-0008-0000-0700-0000D31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52400"/>
          <a:ext cx="48082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30480</xdr:colOff>
      <xdr:row>0</xdr:row>
      <xdr:rowOff>99060</xdr:rowOff>
    </xdr:from>
    <xdr:to>
      <xdr:col>7</xdr:col>
      <xdr:colOff>273050</xdr:colOff>
      <xdr:row>3</xdr:row>
      <xdr:rowOff>121920</xdr:rowOff>
    </xdr:to>
    <xdr:pic>
      <xdr:nvPicPr>
        <xdr:cNvPr id="765232" name="Grafik 2">
          <a:extLst>
            <a:ext uri="{FF2B5EF4-FFF2-40B4-BE49-F238E27FC236}">
              <a16:creationId xmlns:a16="http://schemas.microsoft.com/office/drawing/2014/main" id="{00000000-0008-0000-0800-000030AD0B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4820" y="99060"/>
          <a:ext cx="470916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2164080</xdr:colOff>
      <xdr:row>0</xdr:row>
      <xdr:rowOff>198120</xdr:rowOff>
    </xdr:from>
    <xdr:to>
      <xdr:col>6</xdr:col>
      <xdr:colOff>347134</xdr:colOff>
      <xdr:row>2</xdr:row>
      <xdr:rowOff>109855</xdr:rowOff>
    </xdr:to>
    <xdr:pic>
      <xdr:nvPicPr>
        <xdr:cNvPr id="5762" name="Grafik 2">
          <a:extLst>
            <a:ext uri="{FF2B5EF4-FFF2-40B4-BE49-F238E27FC236}">
              <a16:creationId xmlns:a16="http://schemas.microsoft.com/office/drawing/2014/main" id="{00000000-0008-0000-0900-0000821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0" y="198120"/>
          <a:ext cx="47167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106680</xdr:colOff>
      <xdr:row>4</xdr:row>
      <xdr:rowOff>99060</xdr:rowOff>
    </xdr:from>
    <xdr:to>
      <xdr:col>5</xdr:col>
      <xdr:colOff>533400</xdr:colOff>
      <xdr:row>18</xdr:row>
      <xdr:rowOff>1524000</xdr:rowOff>
    </xdr:to>
    <xdr:graphicFrame macro="">
      <xdr:nvGraphicFramePr>
        <xdr:cNvPr id="1768" name="Chart 4">
          <a:extLst>
            <a:ext uri="{FF2B5EF4-FFF2-40B4-BE49-F238E27FC236}">
              <a16:creationId xmlns:a16="http://schemas.microsoft.com/office/drawing/2014/main" id="{00000000-0008-0000-0A00-0000E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7620</xdr:colOff>
      <xdr:row>0</xdr:row>
      <xdr:rowOff>190500</xdr:rowOff>
    </xdr:from>
    <xdr:to>
      <xdr:col>6</xdr:col>
      <xdr:colOff>982980</xdr:colOff>
      <xdr:row>1</xdr:row>
      <xdr:rowOff>220980</xdr:rowOff>
    </xdr:to>
    <xdr:pic>
      <xdr:nvPicPr>
        <xdr:cNvPr id="1769" name="Grafik 3">
          <a:extLst>
            <a:ext uri="{FF2B5EF4-FFF2-40B4-BE49-F238E27FC236}">
              <a16:creationId xmlns:a16="http://schemas.microsoft.com/office/drawing/2014/main" id="{00000000-0008-0000-0A00-0000E90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0" y="190500"/>
          <a:ext cx="47015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0.00776</cdr:x>
      <cdr:y>0.01208</cdr:y>
    </cdr:from>
    <cdr:to>
      <cdr:x>0.00776</cdr:x>
      <cdr:y>0.01208</cdr:y>
    </cdr:to>
    <cdr:pic>
      <cdr:nvPicPr>
        <cdr:cNvPr id="46081" name="Picture 2049">
          <a:extLst xmlns:a="http://schemas.openxmlformats.org/drawingml/2006/main">
            <a:ext uri="{FF2B5EF4-FFF2-40B4-BE49-F238E27FC236}">
              <a16:creationId xmlns:a16="http://schemas.microsoft.com/office/drawing/2014/main" id="{BEEFEF18-0AD0-4F5F-93C2-16C59CE4F9F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0" cy="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0.41761</cdr:x>
      <cdr:y>0.05984</cdr:y>
    </cdr:from>
    <cdr:to>
      <cdr:x>0.41761</cdr:x>
      <cdr:y>0.05984</cdr:y>
    </cdr:to>
    <cdr:pic>
      <cdr:nvPicPr>
        <cdr:cNvPr id="47105" name="Picture 1025">
          <a:extLst xmlns:a="http://schemas.openxmlformats.org/drawingml/2006/main">
            <a:ext uri="{FF2B5EF4-FFF2-40B4-BE49-F238E27FC236}">
              <a16:creationId xmlns:a16="http://schemas.microsoft.com/office/drawing/2014/main" id="{C27A81E2-C7EF-46B7-B2BE-D7EA3762357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441950" y="270639"/>
          <a:ext cx="0" cy="0"/>
        </a:xfrm>
        <a:prstGeom xmlns:a="http://schemas.openxmlformats.org/drawingml/2006/main" prst="rect">
          <a:avLst/>
        </a:prstGeom>
        <a:noFill xmlns:a="http://schemas.openxmlformats.org/drawingml/2006/main"/>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2125980</xdr:colOff>
      <xdr:row>0</xdr:row>
      <xdr:rowOff>152400</xdr:rowOff>
    </xdr:from>
    <xdr:to>
      <xdr:col>5</xdr:col>
      <xdr:colOff>319193</xdr:colOff>
      <xdr:row>1</xdr:row>
      <xdr:rowOff>236220</xdr:rowOff>
    </xdr:to>
    <xdr:pic>
      <xdr:nvPicPr>
        <xdr:cNvPr id="42608" name="Grafik 2">
          <a:extLst>
            <a:ext uri="{FF2B5EF4-FFF2-40B4-BE49-F238E27FC236}">
              <a16:creationId xmlns:a16="http://schemas.microsoft.com/office/drawing/2014/main" id="{00000000-0008-0000-0100-000070A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152400"/>
          <a:ext cx="52654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822960</xdr:colOff>
      <xdr:row>7</xdr:row>
      <xdr:rowOff>30480</xdr:rowOff>
    </xdr:from>
    <xdr:to>
      <xdr:col>7</xdr:col>
      <xdr:colOff>769620</xdr:colOff>
      <xdr:row>11</xdr:row>
      <xdr:rowOff>137160</xdr:rowOff>
    </xdr:to>
    <xdr:sp macro="" textlink="">
      <xdr:nvSpPr>
        <xdr:cNvPr id="33709" name="Line 13">
          <a:extLst>
            <a:ext uri="{FF2B5EF4-FFF2-40B4-BE49-F238E27FC236}">
              <a16:creationId xmlns:a16="http://schemas.microsoft.com/office/drawing/2014/main" id="{00000000-0008-0000-0200-0000AD830000}"/>
            </a:ext>
          </a:extLst>
        </xdr:cNvPr>
        <xdr:cNvSpPr>
          <a:spLocks noChangeShapeType="1"/>
        </xdr:cNvSpPr>
      </xdr:nvSpPr>
      <xdr:spPr bwMode="auto">
        <a:xfrm flipV="1">
          <a:off x="10477500" y="2621280"/>
          <a:ext cx="647700" cy="6172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1024345</xdr:colOff>
      <xdr:row>0</xdr:row>
      <xdr:rowOff>137886</xdr:rowOff>
    </xdr:from>
    <xdr:to>
      <xdr:col>6</xdr:col>
      <xdr:colOff>534488</xdr:colOff>
      <xdr:row>1</xdr:row>
      <xdr:rowOff>122646</xdr:rowOff>
    </xdr:to>
    <xdr:pic>
      <xdr:nvPicPr>
        <xdr:cNvPr id="33710" name="Grafik 3">
          <a:extLst>
            <a:ext uri="{FF2B5EF4-FFF2-40B4-BE49-F238E27FC236}">
              <a16:creationId xmlns:a16="http://schemas.microsoft.com/office/drawing/2014/main" id="{00000000-0008-0000-0200-0000AE8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2917" y="137886"/>
          <a:ext cx="4575628" cy="56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106</xdr:col>
      <xdr:colOff>1432560</xdr:colOff>
      <xdr:row>72</xdr:row>
      <xdr:rowOff>91440</xdr:rowOff>
    </xdr:from>
    <xdr:to>
      <xdr:col>109</xdr:col>
      <xdr:colOff>701040</xdr:colOff>
      <xdr:row>78</xdr:row>
      <xdr:rowOff>99060</xdr:rowOff>
    </xdr:to>
    <xdr:sp macro="" textlink="">
      <xdr:nvSpPr>
        <xdr:cNvPr id="57270" name="Line 228">
          <a:extLst>
            <a:ext uri="{FF2B5EF4-FFF2-40B4-BE49-F238E27FC236}">
              <a16:creationId xmlns:a16="http://schemas.microsoft.com/office/drawing/2014/main" id="{00000000-0008-0000-0300-0000B6DF0000}"/>
            </a:ext>
          </a:extLst>
        </xdr:cNvPr>
        <xdr:cNvSpPr>
          <a:spLocks noChangeShapeType="1"/>
        </xdr:cNvSpPr>
      </xdr:nvSpPr>
      <xdr:spPr bwMode="auto">
        <a:xfrm flipV="1">
          <a:off x="134790180" y="13716000"/>
          <a:ext cx="2857500" cy="1150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0</xdr:row>
      <xdr:rowOff>144780</xdr:rowOff>
    </xdr:from>
    <xdr:to>
      <xdr:col>5</xdr:col>
      <xdr:colOff>1167765</xdr:colOff>
      <xdr:row>3</xdr:row>
      <xdr:rowOff>76200</xdr:rowOff>
    </xdr:to>
    <xdr:pic>
      <xdr:nvPicPr>
        <xdr:cNvPr id="57271" name="Grafik 3">
          <a:extLst>
            <a:ext uri="{FF2B5EF4-FFF2-40B4-BE49-F238E27FC236}">
              <a16:creationId xmlns:a16="http://schemas.microsoft.com/office/drawing/2014/main" id="{00000000-0008-0000-0300-0000B7D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2920" y="144780"/>
          <a:ext cx="39776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45</xdr:col>
      <xdr:colOff>606879</xdr:colOff>
      <xdr:row>56</xdr:row>
      <xdr:rowOff>164797</xdr:rowOff>
    </xdr:from>
    <xdr:to>
      <xdr:col>47</xdr:col>
      <xdr:colOff>225879</xdr:colOff>
      <xdr:row>58</xdr:row>
      <xdr:rowOff>122193</xdr:rowOff>
    </xdr:to>
    <xdr:sp macro="" textlink="">
      <xdr:nvSpPr>
        <xdr:cNvPr id="35007" name="Text Box 191" hidden="1">
          <a:extLst>
            <a:ext uri="{FF2B5EF4-FFF2-40B4-BE49-F238E27FC236}">
              <a16:creationId xmlns:a16="http://schemas.microsoft.com/office/drawing/2014/main" id="{00000000-0008-0000-0300-0000BF880000}"/>
            </a:ext>
          </a:extLst>
        </xdr:cNvPr>
        <xdr:cNvSpPr txBox="1">
          <a:spLocks noChangeArrowheads="1"/>
        </xdr:cNvSpPr>
      </xdr:nvSpPr>
      <xdr:spPr bwMode="auto">
        <a:xfrm>
          <a:off x="58155840" y="10561320"/>
          <a:ext cx="141732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52</xdr:col>
      <xdr:colOff>24947</xdr:colOff>
      <xdr:row>54</xdr:row>
      <xdr:rowOff>66070</xdr:rowOff>
    </xdr:from>
    <xdr:to>
      <xdr:col>54</xdr:col>
      <xdr:colOff>919298</xdr:colOff>
      <xdr:row>58</xdr:row>
      <xdr:rowOff>122193</xdr:rowOff>
    </xdr:to>
    <xdr:sp macro="" textlink="">
      <xdr:nvSpPr>
        <xdr:cNvPr id="35008" name="Text Box 192" hidden="1">
          <a:extLst>
            <a:ext uri="{FF2B5EF4-FFF2-40B4-BE49-F238E27FC236}">
              <a16:creationId xmlns:a16="http://schemas.microsoft.com/office/drawing/2014/main" id="{00000000-0008-0000-0300-0000C0880000}"/>
            </a:ext>
          </a:extLst>
        </xdr:cNvPr>
        <xdr:cNvSpPr txBox="1">
          <a:spLocks noChangeArrowheads="1"/>
        </xdr:cNvSpPr>
      </xdr:nvSpPr>
      <xdr:spPr bwMode="auto">
        <a:xfrm>
          <a:off x="66225420" y="10012680"/>
          <a:ext cx="275844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52</xdr:col>
      <xdr:colOff>24947</xdr:colOff>
      <xdr:row>56</xdr:row>
      <xdr:rowOff>164797</xdr:rowOff>
    </xdr:from>
    <xdr:to>
      <xdr:col>53</xdr:col>
      <xdr:colOff>492578</xdr:colOff>
      <xdr:row>58</xdr:row>
      <xdr:rowOff>122193</xdr:rowOff>
    </xdr:to>
    <xdr:sp macro="" textlink="">
      <xdr:nvSpPr>
        <xdr:cNvPr id="35009" name="Text Box 193" hidden="1">
          <a:extLst>
            <a:ext uri="{FF2B5EF4-FFF2-40B4-BE49-F238E27FC236}">
              <a16:creationId xmlns:a16="http://schemas.microsoft.com/office/drawing/2014/main" id="{00000000-0008-0000-0300-0000C1880000}"/>
            </a:ext>
          </a:extLst>
        </xdr:cNvPr>
        <xdr:cNvSpPr txBox="1">
          <a:spLocks noChangeArrowheads="1"/>
        </xdr:cNvSpPr>
      </xdr:nvSpPr>
      <xdr:spPr bwMode="auto">
        <a:xfrm>
          <a:off x="66225420" y="10561320"/>
          <a:ext cx="141732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58</xdr:col>
      <xdr:colOff>416378</xdr:colOff>
      <xdr:row>54</xdr:row>
      <xdr:rowOff>66070</xdr:rowOff>
    </xdr:from>
    <xdr:to>
      <xdr:col>61</xdr:col>
      <xdr:colOff>317319</xdr:colOff>
      <xdr:row>58</xdr:row>
      <xdr:rowOff>122193</xdr:rowOff>
    </xdr:to>
    <xdr:sp macro="" textlink="">
      <xdr:nvSpPr>
        <xdr:cNvPr id="35010" name="Text Box 194" hidden="1">
          <a:extLst>
            <a:ext uri="{FF2B5EF4-FFF2-40B4-BE49-F238E27FC236}">
              <a16:creationId xmlns:a16="http://schemas.microsoft.com/office/drawing/2014/main" id="{00000000-0008-0000-0300-0000C2880000}"/>
            </a:ext>
          </a:extLst>
        </xdr:cNvPr>
        <xdr:cNvSpPr txBox="1">
          <a:spLocks noChangeArrowheads="1"/>
        </xdr:cNvSpPr>
      </xdr:nvSpPr>
      <xdr:spPr bwMode="auto">
        <a:xfrm>
          <a:off x="74348340" y="10012680"/>
          <a:ext cx="275082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58</xdr:col>
      <xdr:colOff>416378</xdr:colOff>
      <xdr:row>56</xdr:row>
      <xdr:rowOff>164797</xdr:rowOff>
    </xdr:from>
    <xdr:to>
      <xdr:col>59</xdr:col>
      <xdr:colOff>774519</xdr:colOff>
      <xdr:row>58</xdr:row>
      <xdr:rowOff>122193</xdr:rowOff>
    </xdr:to>
    <xdr:sp macro="" textlink="">
      <xdr:nvSpPr>
        <xdr:cNvPr id="35011" name="Text Box 195" hidden="1">
          <a:extLst>
            <a:ext uri="{FF2B5EF4-FFF2-40B4-BE49-F238E27FC236}">
              <a16:creationId xmlns:a16="http://schemas.microsoft.com/office/drawing/2014/main" id="{00000000-0008-0000-0300-0000C3880000}"/>
            </a:ext>
          </a:extLst>
        </xdr:cNvPr>
        <xdr:cNvSpPr txBox="1">
          <a:spLocks noChangeArrowheads="1"/>
        </xdr:cNvSpPr>
      </xdr:nvSpPr>
      <xdr:spPr bwMode="auto">
        <a:xfrm>
          <a:off x="74348340" y="10561320"/>
          <a:ext cx="140970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65</xdr:col>
      <xdr:colOff>355419</xdr:colOff>
      <xdr:row>54</xdr:row>
      <xdr:rowOff>66070</xdr:rowOff>
    </xdr:from>
    <xdr:to>
      <xdr:col>68</xdr:col>
      <xdr:colOff>263979</xdr:colOff>
      <xdr:row>58</xdr:row>
      <xdr:rowOff>122193</xdr:rowOff>
    </xdr:to>
    <xdr:sp macro="" textlink="">
      <xdr:nvSpPr>
        <xdr:cNvPr id="35012" name="Text Box 196" hidden="1">
          <a:extLst>
            <a:ext uri="{FF2B5EF4-FFF2-40B4-BE49-F238E27FC236}">
              <a16:creationId xmlns:a16="http://schemas.microsoft.com/office/drawing/2014/main" id="{00000000-0008-0000-0300-0000C4880000}"/>
            </a:ext>
          </a:extLst>
        </xdr:cNvPr>
        <xdr:cNvSpPr txBox="1">
          <a:spLocks noChangeArrowheads="1"/>
        </xdr:cNvSpPr>
      </xdr:nvSpPr>
      <xdr:spPr bwMode="auto">
        <a:xfrm>
          <a:off x="83012280" y="10012680"/>
          <a:ext cx="274320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65</xdr:col>
      <xdr:colOff>355419</xdr:colOff>
      <xdr:row>56</xdr:row>
      <xdr:rowOff>164797</xdr:rowOff>
    </xdr:from>
    <xdr:to>
      <xdr:col>66</xdr:col>
      <xdr:colOff>728798</xdr:colOff>
      <xdr:row>58</xdr:row>
      <xdr:rowOff>122193</xdr:rowOff>
    </xdr:to>
    <xdr:sp macro="" textlink="">
      <xdr:nvSpPr>
        <xdr:cNvPr id="35013" name="Text Box 197" hidden="1">
          <a:extLst>
            <a:ext uri="{FF2B5EF4-FFF2-40B4-BE49-F238E27FC236}">
              <a16:creationId xmlns:a16="http://schemas.microsoft.com/office/drawing/2014/main" id="{00000000-0008-0000-0300-0000C5880000}"/>
            </a:ext>
          </a:extLst>
        </xdr:cNvPr>
        <xdr:cNvSpPr txBox="1">
          <a:spLocks noChangeArrowheads="1"/>
        </xdr:cNvSpPr>
      </xdr:nvSpPr>
      <xdr:spPr bwMode="auto">
        <a:xfrm>
          <a:off x="83012280" y="10561320"/>
          <a:ext cx="140970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72</xdr:col>
      <xdr:colOff>263979</xdr:colOff>
      <xdr:row>54</xdr:row>
      <xdr:rowOff>66070</xdr:rowOff>
    </xdr:from>
    <xdr:to>
      <xdr:col>75</xdr:col>
      <xdr:colOff>190047</xdr:colOff>
      <xdr:row>58</xdr:row>
      <xdr:rowOff>122193</xdr:rowOff>
    </xdr:to>
    <xdr:sp macro="" textlink="">
      <xdr:nvSpPr>
        <xdr:cNvPr id="35014" name="Text Box 198" hidden="1">
          <a:extLst>
            <a:ext uri="{FF2B5EF4-FFF2-40B4-BE49-F238E27FC236}">
              <a16:creationId xmlns:a16="http://schemas.microsoft.com/office/drawing/2014/main" id="{00000000-0008-0000-0300-0000C6880000}"/>
            </a:ext>
          </a:extLst>
        </xdr:cNvPr>
        <xdr:cNvSpPr txBox="1">
          <a:spLocks noChangeArrowheads="1"/>
        </xdr:cNvSpPr>
      </xdr:nvSpPr>
      <xdr:spPr bwMode="auto">
        <a:xfrm>
          <a:off x="91622880" y="10012680"/>
          <a:ext cx="27279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72</xdr:col>
      <xdr:colOff>263979</xdr:colOff>
      <xdr:row>56</xdr:row>
      <xdr:rowOff>164797</xdr:rowOff>
    </xdr:from>
    <xdr:to>
      <xdr:col>73</xdr:col>
      <xdr:colOff>606879</xdr:colOff>
      <xdr:row>58</xdr:row>
      <xdr:rowOff>122193</xdr:rowOff>
    </xdr:to>
    <xdr:sp macro="" textlink="">
      <xdr:nvSpPr>
        <xdr:cNvPr id="35015" name="Text Box 199" hidden="1">
          <a:extLst>
            <a:ext uri="{FF2B5EF4-FFF2-40B4-BE49-F238E27FC236}">
              <a16:creationId xmlns:a16="http://schemas.microsoft.com/office/drawing/2014/main" id="{00000000-0008-0000-0300-0000C7880000}"/>
            </a:ext>
          </a:extLst>
        </xdr:cNvPr>
        <xdr:cNvSpPr txBox="1">
          <a:spLocks noChangeArrowheads="1"/>
        </xdr:cNvSpPr>
      </xdr:nvSpPr>
      <xdr:spPr bwMode="auto">
        <a:xfrm>
          <a:off x="91622880" y="10561320"/>
          <a:ext cx="137922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79</xdr:col>
      <xdr:colOff>190803</xdr:colOff>
      <xdr:row>54</xdr:row>
      <xdr:rowOff>66070</xdr:rowOff>
    </xdr:from>
    <xdr:to>
      <xdr:col>82</xdr:col>
      <xdr:colOff>104352</xdr:colOff>
      <xdr:row>58</xdr:row>
      <xdr:rowOff>122193</xdr:rowOff>
    </xdr:to>
    <xdr:sp macro="" textlink="">
      <xdr:nvSpPr>
        <xdr:cNvPr id="35016" name="Text Box 200" hidden="1">
          <a:extLst>
            <a:ext uri="{FF2B5EF4-FFF2-40B4-BE49-F238E27FC236}">
              <a16:creationId xmlns:a16="http://schemas.microsoft.com/office/drawing/2014/main" id="{00000000-0008-0000-0300-0000C8880000}"/>
            </a:ext>
          </a:extLst>
        </xdr:cNvPr>
        <xdr:cNvSpPr txBox="1">
          <a:spLocks noChangeArrowheads="1"/>
        </xdr:cNvSpPr>
      </xdr:nvSpPr>
      <xdr:spPr bwMode="auto">
        <a:xfrm>
          <a:off x="100256340" y="10012680"/>
          <a:ext cx="27279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79</xdr:col>
      <xdr:colOff>190803</xdr:colOff>
      <xdr:row>56</xdr:row>
      <xdr:rowOff>164797</xdr:rowOff>
    </xdr:from>
    <xdr:to>
      <xdr:col>80</xdr:col>
      <xdr:colOff>515439</xdr:colOff>
      <xdr:row>58</xdr:row>
      <xdr:rowOff>122193</xdr:rowOff>
    </xdr:to>
    <xdr:sp macro="" textlink="">
      <xdr:nvSpPr>
        <xdr:cNvPr id="35017" name="Text Box 201" hidden="1">
          <a:extLst>
            <a:ext uri="{FF2B5EF4-FFF2-40B4-BE49-F238E27FC236}">
              <a16:creationId xmlns:a16="http://schemas.microsoft.com/office/drawing/2014/main" id="{00000000-0008-0000-0300-0000C9880000}"/>
            </a:ext>
          </a:extLst>
        </xdr:cNvPr>
        <xdr:cNvSpPr txBox="1">
          <a:spLocks noChangeArrowheads="1"/>
        </xdr:cNvSpPr>
      </xdr:nvSpPr>
      <xdr:spPr bwMode="auto">
        <a:xfrm>
          <a:off x="100256340" y="10561320"/>
          <a:ext cx="137922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85</xdr:col>
      <xdr:colOff>1414599</xdr:colOff>
      <xdr:row>54</xdr:row>
      <xdr:rowOff>66070</xdr:rowOff>
    </xdr:from>
    <xdr:to>
      <xdr:col>88</xdr:col>
      <xdr:colOff>530678</xdr:colOff>
      <xdr:row>58</xdr:row>
      <xdr:rowOff>122193</xdr:rowOff>
    </xdr:to>
    <xdr:sp macro="" textlink="">
      <xdr:nvSpPr>
        <xdr:cNvPr id="35018" name="Text Box 202" hidden="1">
          <a:extLst>
            <a:ext uri="{FF2B5EF4-FFF2-40B4-BE49-F238E27FC236}">
              <a16:creationId xmlns:a16="http://schemas.microsoft.com/office/drawing/2014/main" id="{00000000-0008-0000-0300-0000CA880000}"/>
            </a:ext>
          </a:extLst>
        </xdr:cNvPr>
        <xdr:cNvSpPr txBox="1">
          <a:spLocks noChangeArrowheads="1"/>
        </xdr:cNvSpPr>
      </xdr:nvSpPr>
      <xdr:spPr bwMode="auto">
        <a:xfrm>
          <a:off x="108691680" y="10012680"/>
          <a:ext cx="273558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85</xdr:col>
      <xdr:colOff>1414599</xdr:colOff>
      <xdr:row>56</xdr:row>
      <xdr:rowOff>164797</xdr:rowOff>
    </xdr:from>
    <xdr:to>
      <xdr:col>87</xdr:col>
      <xdr:colOff>146866</xdr:colOff>
      <xdr:row>58</xdr:row>
      <xdr:rowOff>122193</xdr:rowOff>
    </xdr:to>
    <xdr:sp macro="" textlink="">
      <xdr:nvSpPr>
        <xdr:cNvPr id="35019" name="Text Box 203" hidden="1">
          <a:extLst>
            <a:ext uri="{FF2B5EF4-FFF2-40B4-BE49-F238E27FC236}">
              <a16:creationId xmlns:a16="http://schemas.microsoft.com/office/drawing/2014/main" id="{00000000-0008-0000-0300-0000CB880000}"/>
            </a:ext>
          </a:extLst>
        </xdr:cNvPr>
        <xdr:cNvSpPr txBox="1">
          <a:spLocks noChangeArrowheads="1"/>
        </xdr:cNvSpPr>
      </xdr:nvSpPr>
      <xdr:spPr bwMode="auto">
        <a:xfrm>
          <a:off x="108691680" y="10561320"/>
          <a:ext cx="139446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92</xdr:col>
      <xdr:colOff>1102179</xdr:colOff>
      <xdr:row>54</xdr:row>
      <xdr:rowOff>66070</xdr:rowOff>
    </xdr:from>
    <xdr:to>
      <xdr:col>95</xdr:col>
      <xdr:colOff>233499</xdr:colOff>
      <xdr:row>58</xdr:row>
      <xdr:rowOff>122193</xdr:rowOff>
    </xdr:to>
    <xdr:sp macro="" textlink="">
      <xdr:nvSpPr>
        <xdr:cNvPr id="35020" name="Text Box 204" hidden="1">
          <a:extLst>
            <a:ext uri="{FF2B5EF4-FFF2-40B4-BE49-F238E27FC236}">
              <a16:creationId xmlns:a16="http://schemas.microsoft.com/office/drawing/2014/main" id="{00000000-0008-0000-0300-0000CC880000}"/>
            </a:ext>
          </a:extLst>
        </xdr:cNvPr>
        <xdr:cNvSpPr txBox="1">
          <a:spLocks noChangeArrowheads="1"/>
        </xdr:cNvSpPr>
      </xdr:nvSpPr>
      <xdr:spPr bwMode="auto">
        <a:xfrm>
          <a:off x="117096540" y="10012680"/>
          <a:ext cx="27279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92</xdr:col>
      <xdr:colOff>1102179</xdr:colOff>
      <xdr:row>56</xdr:row>
      <xdr:rowOff>164797</xdr:rowOff>
    </xdr:from>
    <xdr:to>
      <xdr:col>93</xdr:col>
      <xdr:colOff>812619</xdr:colOff>
      <xdr:row>58</xdr:row>
      <xdr:rowOff>122193</xdr:rowOff>
    </xdr:to>
    <xdr:sp macro="" textlink="">
      <xdr:nvSpPr>
        <xdr:cNvPr id="35021" name="Text Box 205" hidden="1">
          <a:extLst>
            <a:ext uri="{FF2B5EF4-FFF2-40B4-BE49-F238E27FC236}">
              <a16:creationId xmlns:a16="http://schemas.microsoft.com/office/drawing/2014/main" id="{00000000-0008-0000-0300-0000CD880000}"/>
            </a:ext>
          </a:extLst>
        </xdr:cNvPr>
        <xdr:cNvSpPr txBox="1">
          <a:spLocks noChangeArrowheads="1"/>
        </xdr:cNvSpPr>
      </xdr:nvSpPr>
      <xdr:spPr bwMode="auto">
        <a:xfrm>
          <a:off x="117096540" y="10561320"/>
          <a:ext cx="138684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881199</xdr:colOff>
      <xdr:row>54</xdr:row>
      <xdr:rowOff>66070</xdr:rowOff>
    </xdr:from>
    <xdr:to>
      <xdr:col>102</xdr:col>
      <xdr:colOff>97427</xdr:colOff>
      <xdr:row>58</xdr:row>
      <xdr:rowOff>122193</xdr:rowOff>
    </xdr:to>
    <xdr:sp macro="" textlink="">
      <xdr:nvSpPr>
        <xdr:cNvPr id="35022" name="Text Box 206" hidden="1">
          <a:extLst>
            <a:ext uri="{FF2B5EF4-FFF2-40B4-BE49-F238E27FC236}">
              <a16:creationId xmlns:a16="http://schemas.microsoft.com/office/drawing/2014/main" id="{00000000-0008-0000-0300-0000CE880000}"/>
            </a:ext>
          </a:extLst>
        </xdr:cNvPr>
        <xdr:cNvSpPr txBox="1">
          <a:spLocks noChangeArrowheads="1"/>
        </xdr:cNvSpPr>
      </xdr:nvSpPr>
      <xdr:spPr bwMode="auto">
        <a:xfrm>
          <a:off x="125569980" y="10012680"/>
          <a:ext cx="27660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881199</xdr:colOff>
      <xdr:row>56</xdr:row>
      <xdr:rowOff>164797</xdr:rowOff>
    </xdr:from>
    <xdr:to>
      <xdr:col>100</xdr:col>
      <xdr:colOff>629739</xdr:colOff>
      <xdr:row>58</xdr:row>
      <xdr:rowOff>122193</xdr:rowOff>
    </xdr:to>
    <xdr:sp macro="" textlink="">
      <xdr:nvSpPr>
        <xdr:cNvPr id="35023" name="Text Box 207" hidden="1">
          <a:extLst>
            <a:ext uri="{FF2B5EF4-FFF2-40B4-BE49-F238E27FC236}">
              <a16:creationId xmlns:a16="http://schemas.microsoft.com/office/drawing/2014/main" id="{00000000-0008-0000-0300-0000CF880000}"/>
            </a:ext>
          </a:extLst>
        </xdr:cNvPr>
        <xdr:cNvSpPr txBox="1">
          <a:spLocks noChangeArrowheads="1"/>
        </xdr:cNvSpPr>
      </xdr:nvSpPr>
      <xdr:spPr bwMode="auto">
        <a:xfrm>
          <a:off x="125569980" y="10561320"/>
          <a:ext cx="141732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xdr:col>
      <xdr:colOff>91953</xdr:colOff>
      <xdr:row>58</xdr:row>
      <xdr:rowOff>84093</xdr:rowOff>
    </xdr:from>
    <xdr:to>
      <xdr:col>19</xdr:col>
      <xdr:colOff>490885</xdr:colOff>
      <xdr:row>60</xdr:row>
      <xdr:rowOff>142603</xdr:rowOff>
    </xdr:to>
    <xdr:sp macro="" textlink="">
      <xdr:nvSpPr>
        <xdr:cNvPr id="35024" name="Text Box 208" hidden="1">
          <a:extLst>
            <a:ext uri="{FF2B5EF4-FFF2-40B4-BE49-F238E27FC236}">
              <a16:creationId xmlns:a16="http://schemas.microsoft.com/office/drawing/2014/main" id="{00000000-0008-0000-0300-0000D0880000}"/>
            </a:ext>
          </a:extLst>
        </xdr:cNvPr>
        <xdr:cNvSpPr txBox="1">
          <a:spLocks noChangeArrowheads="1"/>
        </xdr:cNvSpPr>
      </xdr:nvSpPr>
      <xdr:spPr bwMode="auto">
        <a:xfrm>
          <a:off x="23675340" y="10850880"/>
          <a:ext cx="136398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31</xdr:col>
      <xdr:colOff>826165</xdr:colOff>
      <xdr:row>58</xdr:row>
      <xdr:rowOff>84093</xdr:rowOff>
    </xdr:from>
    <xdr:to>
      <xdr:col>33</xdr:col>
      <xdr:colOff>437546</xdr:colOff>
      <xdr:row>60</xdr:row>
      <xdr:rowOff>142603</xdr:rowOff>
    </xdr:to>
    <xdr:sp macro="" textlink="">
      <xdr:nvSpPr>
        <xdr:cNvPr id="35025" name="Text Box 209" hidden="1">
          <a:extLst>
            <a:ext uri="{FF2B5EF4-FFF2-40B4-BE49-F238E27FC236}">
              <a16:creationId xmlns:a16="http://schemas.microsoft.com/office/drawing/2014/main" id="{00000000-0008-0000-0300-0000D1880000}"/>
            </a:ext>
          </a:extLst>
        </xdr:cNvPr>
        <xdr:cNvSpPr txBox="1">
          <a:spLocks noChangeArrowheads="1"/>
        </xdr:cNvSpPr>
      </xdr:nvSpPr>
      <xdr:spPr bwMode="auto">
        <a:xfrm>
          <a:off x="40957500" y="10850880"/>
          <a:ext cx="140970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39</xdr:col>
      <xdr:colOff>81371</xdr:colOff>
      <xdr:row>58</xdr:row>
      <xdr:rowOff>84093</xdr:rowOff>
    </xdr:from>
    <xdr:to>
      <xdr:col>40</xdr:col>
      <xdr:colOff>503161</xdr:colOff>
      <xdr:row>60</xdr:row>
      <xdr:rowOff>142603</xdr:rowOff>
    </xdr:to>
    <xdr:sp macro="" textlink="">
      <xdr:nvSpPr>
        <xdr:cNvPr id="35026" name="Text Box 210" hidden="1">
          <a:extLst>
            <a:ext uri="{FF2B5EF4-FFF2-40B4-BE49-F238E27FC236}">
              <a16:creationId xmlns:a16="http://schemas.microsoft.com/office/drawing/2014/main" id="{00000000-0008-0000-0300-0000D2880000}"/>
            </a:ext>
          </a:extLst>
        </xdr:cNvPr>
        <xdr:cNvSpPr txBox="1">
          <a:spLocks noChangeArrowheads="1"/>
        </xdr:cNvSpPr>
      </xdr:nvSpPr>
      <xdr:spPr bwMode="auto">
        <a:xfrm>
          <a:off x="49750980" y="10850880"/>
          <a:ext cx="138684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45</xdr:col>
      <xdr:colOff>606879</xdr:colOff>
      <xdr:row>58</xdr:row>
      <xdr:rowOff>84093</xdr:rowOff>
    </xdr:from>
    <xdr:to>
      <xdr:col>47</xdr:col>
      <xdr:colOff>195399</xdr:colOff>
      <xdr:row>60</xdr:row>
      <xdr:rowOff>142603</xdr:rowOff>
    </xdr:to>
    <xdr:sp macro="" textlink="">
      <xdr:nvSpPr>
        <xdr:cNvPr id="35027" name="Text Box 211" hidden="1">
          <a:extLst>
            <a:ext uri="{FF2B5EF4-FFF2-40B4-BE49-F238E27FC236}">
              <a16:creationId xmlns:a16="http://schemas.microsoft.com/office/drawing/2014/main" id="{00000000-0008-0000-0300-0000D3880000}"/>
            </a:ext>
          </a:extLst>
        </xdr:cNvPr>
        <xdr:cNvSpPr txBox="1">
          <a:spLocks noChangeArrowheads="1"/>
        </xdr:cNvSpPr>
      </xdr:nvSpPr>
      <xdr:spPr bwMode="auto">
        <a:xfrm>
          <a:off x="58155840" y="10850880"/>
          <a:ext cx="138684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52</xdr:col>
      <xdr:colOff>24947</xdr:colOff>
      <xdr:row>58</xdr:row>
      <xdr:rowOff>84093</xdr:rowOff>
    </xdr:from>
    <xdr:to>
      <xdr:col>53</xdr:col>
      <xdr:colOff>462098</xdr:colOff>
      <xdr:row>60</xdr:row>
      <xdr:rowOff>142603</xdr:rowOff>
    </xdr:to>
    <xdr:sp macro="" textlink="">
      <xdr:nvSpPr>
        <xdr:cNvPr id="35028" name="Text Box 212" hidden="1">
          <a:extLst>
            <a:ext uri="{FF2B5EF4-FFF2-40B4-BE49-F238E27FC236}">
              <a16:creationId xmlns:a16="http://schemas.microsoft.com/office/drawing/2014/main" id="{00000000-0008-0000-0300-0000D4880000}"/>
            </a:ext>
          </a:extLst>
        </xdr:cNvPr>
        <xdr:cNvSpPr txBox="1">
          <a:spLocks noChangeArrowheads="1"/>
        </xdr:cNvSpPr>
      </xdr:nvSpPr>
      <xdr:spPr bwMode="auto">
        <a:xfrm>
          <a:off x="66225420" y="10850880"/>
          <a:ext cx="138684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58</xdr:col>
      <xdr:colOff>416378</xdr:colOff>
      <xdr:row>58</xdr:row>
      <xdr:rowOff>84093</xdr:rowOff>
    </xdr:from>
    <xdr:to>
      <xdr:col>59</xdr:col>
      <xdr:colOff>744039</xdr:colOff>
      <xdr:row>60</xdr:row>
      <xdr:rowOff>142603</xdr:rowOff>
    </xdr:to>
    <xdr:sp macro="" textlink="">
      <xdr:nvSpPr>
        <xdr:cNvPr id="35029" name="Text Box 213" hidden="1">
          <a:extLst>
            <a:ext uri="{FF2B5EF4-FFF2-40B4-BE49-F238E27FC236}">
              <a16:creationId xmlns:a16="http://schemas.microsoft.com/office/drawing/2014/main" id="{00000000-0008-0000-0300-0000D5880000}"/>
            </a:ext>
          </a:extLst>
        </xdr:cNvPr>
        <xdr:cNvSpPr txBox="1">
          <a:spLocks noChangeArrowheads="1"/>
        </xdr:cNvSpPr>
      </xdr:nvSpPr>
      <xdr:spPr bwMode="auto">
        <a:xfrm>
          <a:off x="74348340" y="10850880"/>
          <a:ext cx="137922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65</xdr:col>
      <xdr:colOff>355419</xdr:colOff>
      <xdr:row>58</xdr:row>
      <xdr:rowOff>84093</xdr:rowOff>
    </xdr:from>
    <xdr:to>
      <xdr:col>66</xdr:col>
      <xdr:colOff>690698</xdr:colOff>
      <xdr:row>60</xdr:row>
      <xdr:rowOff>142603</xdr:rowOff>
    </xdr:to>
    <xdr:sp macro="" textlink="">
      <xdr:nvSpPr>
        <xdr:cNvPr id="35030" name="Text Box 214" hidden="1">
          <a:extLst>
            <a:ext uri="{FF2B5EF4-FFF2-40B4-BE49-F238E27FC236}">
              <a16:creationId xmlns:a16="http://schemas.microsoft.com/office/drawing/2014/main" id="{00000000-0008-0000-0300-0000D6880000}"/>
            </a:ext>
          </a:extLst>
        </xdr:cNvPr>
        <xdr:cNvSpPr txBox="1">
          <a:spLocks noChangeArrowheads="1"/>
        </xdr:cNvSpPr>
      </xdr:nvSpPr>
      <xdr:spPr bwMode="auto">
        <a:xfrm>
          <a:off x="83012280" y="10850880"/>
          <a:ext cx="137160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72</xdr:col>
      <xdr:colOff>263979</xdr:colOff>
      <xdr:row>58</xdr:row>
      <xdr:rowOff>84093</xdr:rowOff>
    </xdr:from>
    <xdr:to>
      <xdr:col>73</xdr:col>
      <xdr:colOff>576399</xdr:colOff>
      <xdr:row>60</xdr:row>
      <xdr:rowOff>142603</xdr:rowOff>
    </xdr:to>
    <xdr:sp macro="" textlink="">
      <xdr:nvSpPr>
        <xdr:cNvPr id="35031" name="Text Box 215" hidden="1">
          <a:extLst>
            <a:ext uri="{FF2B5EF4-FFF2-40B4-BE49-F238E27FC236}">
              <a16:creationId xmlns:a16="http://schemas.microsoft.com/office/drawing/2014/main" id="{00000000-0008-0000-0300-0000D7880000}"/>
            </a:ext>
          </a:extLst>
        </xdr:cNvPr>
        <xdr:cNvSpPr txBox="1">
          <a:spLocks noChangeArrowheads="1"/>
        </xdr:cNvSpPr>
      </xdr:nvSpPr>
      <xdr:spPr bwMode="auto">
        <a:xfrm>
          <a:off x="91622880" y="10850880"/>
          <a:ext cx="134874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79</xdr:col>
      <xdr:colOff>190803</xdr:colOff>
      <xdr:row>58</xdr:row>
      <xdr:rowOff>84093</xdr:rowOff>
    </xdr:from>
    <xdr:to>
      <xdr:col>80</xdr:col>
      <xdr:colOff>492579</xdr:colOff>
      <xdr:row>60</xdr:row>
      <xdr:rowOff>142603</xdr:rowOff>
    </xdr:to>
    <xdr:sp macro="" textlink="">
      <xdr:nvSpPr>
        <xdr:cNvPr id="35032" name="Text Box 216" hidden="1">
          <a:extLst>
            <a:ext uri="{FF2B5EF4-FFF2-40B4-BE49-F238E27FC236}">
              <a16:creationId xmlns:a16="http://schemas.microsoft.com/office/drawing/2014/main" id="{00000000-0008-0000-0300-0000D8880000}"/>
            </a:ext>
          </a:extLst>
        </xdr:cNvPr>
        <xdr:cNvSpPr txBox="1">
          <a:spLocks noChangeArrowheads="1"/>
        </xdr:cNvSpPr>
      </xdr:nvSpPr>
      <xdr:spPr bwMode="auto">
        <a:xfrm>
          <a:off x="100256340" y="10850880"/>
          <a:ext cx="135636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85</xdr:col>
      <xdr:colOff>1414599</xdr:colOff>
      <xdr:row>58</xdr:row>
      <xdr:rowOff>84093</xdr:rowOff>
    </xdr:from>
    <xdr:to>
      <xdr:col>87</xdr:col>
      <xdr:colOff>108766</xdr:colOff>
      <xdr:row>60</xdr:row>
      <xdr:rowOff>142603</xdr:rowOff>
    </xdr:to>
    <xdr:sp macro="" textlink="">
      <xdr:nvSpPr>
        <xdr:cNvPr id="35033" name="Text Box 217" hidden="1">
          <a:extLst>
            <a:ext uri="{FF2B5EF4-FFF2-40B4-BE49-F238E27FC236}">
              <a16:creationId xmlns:a16="http://schemas.microsoft.com/office/drawing/2014/main" id="{00000000-0008-0000-0300-0000D9880000}"/>
            </a:ext>
          </a:extLst>
        </xdr:cNvPr>
        <xdr:cNvSpPr txBox="1">
          <a:spLocks noChangeArrowheads="1"/>
        </xdr:cNvSpPr>
      </xdr:nvSpPr>
      <xdr:spPr bwMode="auto">
        <a:xfrm>
          <a:off x="108691680" y="10850880"/>
          <a:ext cx="135636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92</xdr:col>
      <xdr:colOff>1102179</xdr:colOff>
      <xdr:row>58</xdr:row>
      <xdr:rowOff>84093</xdr:rowOff>
    </xdr:from>
    <xdr:to>
      <xdr:col>93</xdr:col>
      <xdr:colOff>782139</xdr:colOff>
      <xdr:row>60</xdr:row>
      <xdr:rowOff>142603</xdr:rowOff>
    </xdr:to>
    <xdr:sp macro="" textlink="">
      <xdr:nvSpPr>
        <xdr:cNvPr id="35034" name="Text Box 218" hidden="1">
          <a:extLst>
            <a:ext uri="{FF2B5EF4-FFF2-40B4-BE49-F238E27FC236}">
              <a16:creationId xmlns:a16="http://schemas.microsoft.com/office/drawing/2014/main" id="{00000000-0008-0000-0300-0000DA880000}"/>
            </a:ext>
          </a:extLst>
        </xdr:cNvPr>
        <xdr:cNvSpPr txBox="1">
          <a:spLocks noChangeArrowheads="1"/>
        </xdr:cNvSpPr>
      </xdr:nvSpPr>
      <xdr:spPr bwMode="auto">
        <a:xfrm>
          <a:off x="117096540" y="10850880"/>
          <a:ext cx="135636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881199</xdr:colOff>
      <xdr:row>58</xdr:row>
      <xdr:rowOff>84093</xdr:rowOff>
    </xdr:from>
    <xdr:to>
      <xdr:col>100</xdr:col>
      <xdr:colOff>591639</xdr:colOff>
      <xdr:row>60</xdr:row>
      <xdr:rowOff>142603</xdr:rowOff>
    </xdr:to>
    <xdr:sp macro="" textlink="">
      <xdr:nvSpPr>
        <xdr:cNvPr id="35035" name="Text Box 219" hidden="1">
          <a:extLst>
            <a:ext uri="{FF2B5EF4-FFF2-40B4-BE49-F238E27FC236}">
              <a16:creationId xmlns:a16="http://schemas.microsoft.com/office/drawing/2014/main" id="{00000000-0008-0000-0300-0000DB880000}"/>
            </a:ext>
          </a:extLst>
        </xdr:cNvPr>
        <xdr:cNvSpPr txBox="1">
          <a:spLocks noChangeArrowheads="1"/>
        </xdr:cNvSpPr>
      </xdr:nvSpPr>
      <xdr:spPr bwMode="auto">
        <a:xfrm>
          <a:off x="125569980" y="10850880"/>
          <a:ext cx="137922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11</xdr:col>
      <xdr:colOff>213845</xdr:colOff>
      <xdr:row>54</xdr:row>
      <xdr:rowOff>66070</xdr:rowOff>
    </xdr:from>
    <xdr:to>
      <xdr:col>14</xdr:col>
      <xdr:colOff>361345</xdr:colOff>
      <xdr:row>57</xdr:row>
      <xdr:rowOff>114572</xdr:rowOff>
    </xdr:to>
    <xdr:sp macro="" textlink="">
      <xdr:nvSpPr>
        <xdr:cNvPr id="35036" name="Text Box 220" hidden="1">
          <a:extLst>
            <a:ext uri="{FF2B5EF4-FFF2-40B4-BE49-F238E27FC236}">
              <a16:creationId xmlns:a16="http://schemas.microsoft.com/office/drawing/2014/main" id="{00000000-0008-0000-0300-0000DC880000}"/>
            </a:ext>
          </a:extLst>
        </xdr:cNvPr>
        <xdr:cNvSpPr txBox="1">
          <a:spLocks noChangeArrowheads="1"/>
        </xdr:cNvSpPr>
      </xdr:nvSpPr>
      <xdr:spPr bwMode="auto">
        <a:xfrm>
          <a:off x="15095220" y="10012680"/>
          <a:ext cx="2712720" cy="70104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11</xdr:col>
      <xdr:colOff>213845</xdr:colOff>
      <xdr:row>56</xdr:row>
      <xdr:rowOff>164797</xdr:rowOff>
    </xdr:from>
    <xdr:to>
      <xdr:col>12</xdr:col>
      <xdr:colOff>666146</xdr:colOff>
      <xdr:row>58</xdr:row>
      <xdr:rowOff>122193</xdr:rowOff>
    </xdr:to>
    <xdr:sp macro="" textlink="">
      <xdr:nvSpPr>
        <xdr:cNvPr id="35037" name="Text Box 221" hidden="1">
          <a:extLst>
            <a:ext uri="{FF2B5EF4-FFF2-40B4-BE49-F238E27FC236}">
              <a16:creationId xmlns:a16="http://schemas.microsoft.com/office/drawing/2014/main" id="{00000000-0008-0000-0300-0000DD880000}"/>
            </a:ext>
          </a:extLst>
        </xdr:cNvPr>
        <xdr:cNvSpPr txBox="1">
          <a:spLocks noChangeArrowheads="1"/>
        </xdr:cNvSpPr>
      </xdr:nvSpPr>
      <xdr:spPr bwMode="auto">
        <a:xfrm>
          <a:off x="15095220" y="10561320"/>
          <a:ext cx="140208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11</xdr:col>
      <xdr:colOff>213845</xdr:colOff>
      <xdr:row>58</xdr:row>
      <xdr:rowOff>84093</xdr:rowOff>
    </xdr:from>
    <xdr:to>
      <xdr:col>12</xdr:col>
      <xdr:colOff>643286</xdr:colOff>
      <xdr:row>61</xdr:row>
      <xdr:rowOff>8981</xdr:rowOff>
    </xdr:to>
    <xdr:sp macro="" textlink="">
      <xdr:nvSpPr>
        <xdr:cNvPr id="35038" name="Text Box 222" hidden="1">
          <a:extLst>
            <a:ext uri="{FF2B5EF4-FFF2-40B4-BE49-F238E27FC236}">
              <a16:creationId xmlns:a16="http://schemas.microsoft.com/office/drawing/2014/main" id="{00000000-0008-0000-0300-0000DE880000}"/>
            </a:ext>
          </a:extLst>
        </xdr:cNvPr>
        <xdr:cNvSpPr txBox="1">
          <a:spLocks noChangeArrowheads="1"/>
        </xdr:cNvSpPr>
      </xdr:nvSpPr>
      <xdr:spPr bwMode="auto">
        <a:xfrm>
          <a:off x="15095220" y="10850880"/>
          <a:ext cx="1379220" cy="42672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xdr:col>
      <xdr:colOff>91953</xdr:colOff>
      <xdr:row>54</xdr:row>
      <xdr:rowOff>66070</xdr:rowOff>
    </xdr:from>
    <xdr:to>
      <xdr:col>21</xdr:col>
      <xdr:colOff>285146</xdr:colOff>
      <xdr:row>58</xdr:row>
      <xdr:rowOff>122193</xdr:rowOff>
    </xdr:to>
    <xdr:sp macro="" textlink="">
      <xdr:nvSpPr>
        <xdr:cNvPr id="35039" name="Text Box 223" hidden="1">
          <a:extLst>
            <a:ext uri="{FF2B5EF4-FFF2-40B4-BE49-F238E27FC236}">
              <a16:creationId xmlns:a16="http://schemas.microsoft.com/office/drawing/2014/main" id="{00000000-0008-0000-0300-0000DF880000}"/>
            </a:ext>
          </a:extLst>
        </xdr:cNvPr>
        <xdr:cNvSpPr txBox="1">
          <a:spLocks noChangeArrowheads="1"/>
        </xdr:cNvSpPr>
      </xdr:nvSpPr>
      <xdr:spPr bwMode="auto">
        <a:xfrm>
          <a:off x="23675340" y="10012680"/>
          <a:ext cx="27660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xdr:col>
      <xdr:colOff>91953</xdr:colOff>
      <xdr:row>56</xdr:row>
      <xdr:rowOff>164797</xdr:rowOff>
    </xdr:from>
    <xdr:to>
      <xdr:col>19</xdr:col>
      <xdr:colOff>521365</xdr:colOff>
      <xdr:row>58</xdr:row>
      <xdr:rowOff>122193</xdr:rowOff>
    </xdr:to>
    <xdr:sp macro="" textlink="">
      <xdr:nvSpPr>
        <xdr:cNvPr id="35040" name="Text Box 224" hidden="1">
          <a:extLst>
            <a:ext uri="{FF2B5EF4-FFF2-40B4-BE49-F238E27FC236}">
              <a16:creationId xmlns:a16="http://schemas.microsoft.com/office/drawing/2014/main" id="{00000000-0008-0000-0300-0000E0880000}"/>
            </a:ext>
          </a:extLst>
        </xdr:cNvPr>
        <xdr:cNvSpPr txBox="1">
          <a:spLocks noChangeArrowheads="1"/>
        </xdr:cNvSpPr>
      </xdr:nvSpPr>
      <xdr:spPr bwMode="auto">
        <a:xfrm>
          <a:off x="23675340" y="10561320"/>
          <a:ext cx="1394460" cy="3276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18</xdr:col>
      <xdr:colOff>91953</xdr:colOff>
      <xdr:row>58</xdr:row>
      <xdr:rowOff>84093</xdr:rowOff>
    </xdr:from>
    <xdr:to>
      <xdr:col>19</xdr:col>
      <xdr:colOff>490885</xdr:colOff>
      <xdr:row>60</xdr:row>
      <xdr:rowOff>142603</xdr:rowOff>
    </xdr:to>
    <xdr:sp macro="" textlink="">
      <xdr:nvSpPr>
        <xdr:cNvPr id="35041" name="Text Box 225" hidden="1">
          <a:extLst>
            <a:ext uri="{FF2B5EF4-FFF2-40B4-BE49-F238E27FC236}">
              <a16:creationId xmlns:a16="http://schemas.microsoft.com/office/drawing/2014/main" id="{00000000-0008-0000-0300-0000E1880000}"/>
            </a:ext>
          </a:extLst>
        </xdr:cNvPr>
        <xdr:cNvSpPr txBox="1">
          <a:spLocks noChangeArrowheads="1"/>
        </xdr:cNvSpPr>
      </xdr:nvSpPr>
      <xdr:spPr bwMode="auto">
        <a:xfrm>
          <a:off x="23675340" y="10850880"/>
          <a:ext cx="1363980" cy="4038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98</xdr:col>
      <xdr:colOff>1498418</xdr:colOff>
      <xdr:row>71</xdr:row>
      <xdr:rowOff>115207</xdr:rowOff>
    </xdr:from>
    <xdr:to>
      <xdr:col>99</xdr:col>
      <xdr:colOff>195399</xdr:colOff>
      <xdr:row>76</xdr:row>
      <xdr:rowOff>18929</xdr:rowOff>
    </xdr:to>
    <xdr:sp macro="" textlink="">
      <xdr:nvSpPr>
        <xdr:cNvPr id="35042" name="Text Box 226" hidden="1">
          <a:extLst>
            <a:ext uri="{FF2B5EF4-FFF2-40B4-BE49-F238E27FC236}">
              <a16:creationId xmlns:a16="http://schemas.microsoft.com/office/drawing/2014/main" id="{00000000-0008-0000-0300-0000E2880000}"/>
            </a:ext>
          </a:extLst>
        </xdr:cNvPr>
        <xdr:cNvSpPr txBox="1">
          <a:spLocks noChangeArrowheads="1"/>
        </xdr:cNvSpPr>
      </xdr:nvSpPr>
      <xdr:spPr bwMode="auto">
        <a:xfrm>
          <a:off x="123619260" y="13106400"/>
          <a:ext cx="1264920" cy="8229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101</xdr:col>
      <xdr:colOff>553538</xdr:colOff>
      <xdr:row>26</xdr:row>
      <xdr:rowOff>30692</xdr:rowOff>
    </xdr:from>
    <xdr:to>
      <xdr:col>103</xdr:col>
      <xdr:colOff>835479</xdr:colOff>
      <xdr:row>27</xdr:row>
      <xdr:rowOff>100119</xdr:rowOff>
    </xdr:to>
    <xdr:sp macro="" textlink="">
      <xdr:nvSpPr>
        <xdr:cNvPr id="35045" name="Text Box 229" hidden="1">
          <a:extLst>
            <a:ext uri="{FF2B5EF4-FFF2-40B4-BE49-F238E27FC236}">
              <a16:creationId xmlns:a16="http://schemas.microsoft.com/office/drawing/2014/main" id="{00000000-0008-0000-0300-0000E5880000}"/>
            </a:ext>
          </a:extLst>
        </xdr:cNvPr>
        <xdr:cNvSpPr txBox="1">
          <a:spLocks noChangeArrowheads="1"/>
        </xdr:cNvSpPr>
      </xdr:nvSpPr>
      <xdr:spPr bwMode="auto">
        <a:xfrm>
          <a:off x="127962660" y="4732020"/>
          <a:ext cx="2080260" cy="32004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108</xdr:col>
      <xdr:colOff>413658</xdr:colOff>
      <xdr:row>26</xdr:row>
      <xdr:rowOff>30692</xdr:rowOff>
    </xdr:from>
    <xdr:to>
      <xdr:col>110</xdr:col>
      <xdr:colOff>680357</xdr:colOff>
      <xdr:row>27</xdr:row>
      <xdr:rowOff>100119</xdr:rowOff>
    </xdr:to>
    <xdr:sp macro="" textlink="">
      <xdr:nvSpPr>
        <xdr:cNvPr id="35046" name="Text Box 230" hidden="1">
          <a:extLst>
            <a:ext uri="{FF2B5EF4-FFF2-40B4-BE49-F238E27FC236}">
              <a16:creationId xmlns:a16="http://schemas.microsoft.com/office/drawing/2014/main" id="{00000000-0008-0000-0300-0000E6880000}"/>
            </a:ext>
          </a:extLst>
        </xdr:cNvPr>
        <xdr:cNvSpPr txBox="1">
          <a:spLocks noChangeArrowheads="1"/>
        </xdr:cNvSpPr>
      </xdr:nvSpPr>
      <xdr:spPr bwMode="auto">
        <a:xfrm>
          <a:off x="136748520" y="4732020"/>
          <a:ext cx="2065020" cy="32004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949779</xdr:colOff>
      <xdr:row>37</xdr:row>
      <xdr:rowOff>26640</xdr:rowOff>
    </xdr:from>
    <xdr:to>
      <xdr:col>100</xdr:col>
      <xdr:colOff>530679</xdr:colOff>
      <xdr:row>38</xdr:row>
      <xdr:rowOff>131717</xdr:rowOff>
    </xdr:to>
    <xdr:sp macro="" textlink="">
      <xdr:nvSpPr>
        <xdr:cNvPr id="35047" name="Text Box 231" hidden="1">
          <a:extLst>
            <a:ext uri="{FF2B5EF4-FFF2-40B4-BE49-F238E27FC236}">
              <a16:creationId xmlns:a16="http://schemas.microsoft.com/office/drawing/2014/main" id="{00000000-0008-0000-0300-0000E7880000}"/>
            </a:ext>
          </a:extLst>
        </xdr:cNvPr>
        <xdr:cNvSpPr txBox="1">
          <a:spLocks noChangeArrowheads="1"/>
        </xdr:cNvSpPr>
      </xdr:nvSpPr>
      <xdr:spPr bwMode="auto">
        <a:xfrm>
          <a:off x="125638560" y="7269480"/>
          <a:ext cx="1249680" cy="2667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106</xdr:col>
      <xdr:colOff>756557</xdr:colOff>
      <xdr:row>37</xdr:row>
      <xdr:rowOff>26640</xdr:rowOff>
    </xdr:from>
    <xdr:to>
      <xdr:col>107</xdr:col>
      <xdr:colOff>375556</xdr:colOff>
      <xdr:row>38</xdr:row>
      <xdr:rowOff>131717</xdr:rowOff>
    </xdr:to>
    <xdr:sp macro="" textlink="">
      <xdr:nvSpPr>
        <xdr:cNvPr id="35048" name="Text Box 232" hidden="1">
          <a:extLst>
            <a:ext uri="{FF2B5EF4-FFF2-40B4-BE49-F238E27FC236}">
              <a16:creationId xmlns:a16="http://schemas.microsoft.com/office/drawing/2014/main" id="{00000000-0008-0000-0300-0000E8880000}"/>
            </a:ext>
          </a:extLst>
        </xdr:cNvPr>
        <xdr:cNvSpPr txBox="1">
          <a:spLocks noChangeArrowheads="1"/>
        </xdr:cNvSpPr>
      </xdr:nvSpPr>
      <xdr:spPr bwMode="auto">
        <a:xfrm>
          <a:off x="134386320" y="7269480"/>
          <a:ext cx="1287780" cy="2667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100</xdr:col>
      <xdr:colOff>160293</xdr:colOff>
      <xdr:row>38</xdr:row>
      <xdr:rowOff>108857</xdr:rowOff>
    </xdr:from>
    <xdr:to>
      <xdr:col>101</xdr:col>
      <xdr:colOff>271598</xdr:colOff>
      <xdr:row>40</xdr:row>
      <xdr:rowOff>87086</xdr:rowOff>
    </xdr:to>
    <xdr:sp macro="" textlink="">
      <xdr:nvSpPr>
        <xdr:cNvPr id="35049" name="Text Box 233" hidden="1">
          <a:extLst>
            <a:ext uri="{FF2B5EF4-FFF2-40B4-BE49-F238E27FC236}">
              <a16:creationId xmlns:a16="http://schemas.microsoft.com/office/drawing/2014/main" id="{00000000-0008-0000-0300-0000E9880000}"/>
            </a:ext>
          </a:extLst>
        </xdr:cNvPr>
        <xdr:cNvSpPr txBox="1">
          <a:spLocks noChangeArrowheads="1"/>
        </xdr:cNvSpPr>
      </xdr:nvSpPr>
      <xdr:spPr bwMode="auto">
        <a:xfrm>
          <a:off x="126415800" y="7513320"/>
          <a:ext cx="1264920" cy="2895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106</xdr:col>
      <xdr:colOff>1609180</xdr:colOff>
      <xdr:row>38</xdr:row>
      <xdr:rowOff>108857</xdr:rowOff>
    </xdr:from>
    <xdr:to>
      <xdr:col>108</xdr:col>
      <xdr:colOff>193644</xdr:colOff>
      <xdr:row>40</xdr:row>
      <xdr:rowOff>87086</xdr:rowOff>
    </xdr:to>
    <xdr:sp macro="" textlink="">
      <xdr:nvSpPr>
        <xdr:cNvPr id="35050" name="Text Box 234" hidden="1">
          <a:extLst>
            <a:ext uri="{FF2B5EF4-FFF2-40B4-BE49-F238E27FC236}">
              <a16:creationId xmlns:a16="http://schemas.microsoft.com/office/drawing/2014/main" id="{00000000-0008-0000-0300-0000EA880000}"/>
            </a:ext>
          </a:extLst>
        </xdr:cNvPr>
        <xdr:cNvSpPr txBox="1">
          <a:spLocks noChangeArrowheads="1"/>
        </xdr:cNvSpPr>
      </xdr:nvSpPr>
      <xdr:spPr bwMode="auto">
        <a:xfrm>
          <a:off x="135186420" y="7513320"/>
          <a:ext cx="1272540" cy="2895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98</xdr:col>
      <xdr:colOff>2420438</xdr:colOff>
      <xdr:row>40</xdr:row>
      <xdr:rowOff>87086</xdr:rowOff>
    </xdr:from>
    <xdr:to>
      <xdr:col>100</xdr:col>
      <xdr:colOff>591639</xdr:colOff>
      <xdr:row>42</xdr:row>
      <xdr:rowOff>89262</xdr:rowOff>
    </xdr:to>
    <xdr:sp macro="" textlink="">
      <xdr:nvSpPr>
        <xdr:cNvPr id="35051" name="Text Box 235" hidden="1">
          <a:extLst>
            <a:ext uri="{FF2B5EF4-FFF2-40B4-BE49-F238E27FC236}">
              <a16:creationId xmlns:a16="http://schemas.microsoft.com/office/drawing/2014/main" id="{00000000-0008-0000-0300-0000EB880000}"/>
            </a:ext>
          </a:extLst>
        </xdr:cNvPr>
        <xdr:cNvSpPr txBox="1">
          <a:spLocks noChangeArrowheads="1"/>
        </xdr:cNvSpPr>
      </xdr:nvSpPr>
      <xdr:spPr bwMode="auto">
        <a:xfrm>
          <a:off x="124541280" y="7802880"/>
          <a:ext cx="2407920" cy="31242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105</xdr:col>
      <xdr:colOff>2257697</xdr:colOff>
      <xdr:row>40</xdr:row>
      <xdr:rowOff>87086</xdr:rowOff>
    </xdr:from>
    <xdr:to>
      <xdr:col>107</xdr:col>
      <xdr:colOff>451756</xdr:colOff>
      <xdr:row>42</xdr:row>
      <xdr:rowOff>89262</xdr:rowOff>
    </xdr:to>
    <xdr:sp macro="" textlink="">
      <xdr:nvSpPr>
        <xdr:cNvPr id="35052" name="Text Box 236" hidden="1">
          <a:extLst>
            <a:ext uri="{FF2B5EF4-FFF2-40B4-BE49-F238E27FC236}">
              <a16:creationId xmlns:a16="http://schemas.microsoft.com/office/drawing/2014/main" id="{00000000-0008-0000-0300-0000EC880000}"/>
            </a:ext>
          </a:extLst>
        </xdr:cNvPr>
        <xdr:cNvSpPr txBox="1">
          <a:spLocks noChangeArrowheads="1"/>
        </xdr:cNvSpPr>
      </xdr:nvSpPr>
      <xdr:spPr bwMode="auto">
        <a:xfrm>
          <a:off x="133319520" y="7802880"/>
          <a:ext cx="2430780" cy="31242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98</xdr:col>
      <xdr:colOff>2420438</xdr:colOff>
      <xdr:row>43</xdr:row>
      <xdr:rowOff>1361</xdr:rowOff>
    </xdr:from>
    <xdr:to>
      <xdr:col>102</xdr:col>
      <xdr:colOff>195399</xdr:colOff>
      <xdr:row>48</xdr:row>
      <xdr:rowOff>116901</xdr:rowOff>
    </xdr:to>
    <xdr:sp macro="" textlink="">
      <xdr:nvSpPr>
        <xdr:cNvPr id="35053" name="Text Box 237" hidden="1">
          <a:extLst>
            <a:ext uri="{FF2B5EF4-FFF2-40B4-BE49-F238E27FC236}">
              <a16:creationId xmlns:a16="http://schemas.microsoft.com/office/drawing/2014/main" id="{00000000-0008-0000-0300-0000ED880000}"/>
            </a:ext>
          </a:extLst>
        </xdr:cNvPr>
        <xdr:cNvSpPr txBox="1">
          <a:spLocks noChangeArrowheads="1"/>
        </xdr:cNvSpPr>
      </xdr:nvSpPr>
      <xdr:spPr bwMode="auto">
        <a:xfrm>
          <a:off x="124541280" y="8183880"/>
          <a:ext cx="3947160" cy="9372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949779</xdr:colOff>
      <xdr:row>43</xdr:row>
      <xdr:rowOff>1361</xdr:rowOff>
    </xdr:from>
    <xdr:to>
      <xdr:col>103</xdr:col>
      <xdr:colOff>188142</xdr:colOff>
      <xdr:row>47</xdr:row>
      <xdr:rowOff>135829</xdr:rowOff>
    </xdr:to>
    <xdr:sp macro="" textlink="">
      <xdr:nvSpPr>
        <xdr:cNvPr id="35054" name="Text Box 238" hidden="1">
          <a:extLst>
            <a:ext uri="{FF2B5EF4-FFF2-40B4-BE49-F238E27FC236}">
              <a16:creationId xmlns:a16="http://schemas.microsoft.com/office/drawing/2014/main" id="{00000000-0008-0000-0300-0000EE880000}"/>
            </a:ext>
          </a:extLst>
        </xdr:cNvPr>
        <xdr:cNvSpPr txBox="1">
          <a:spLocks noChangeArrowheads="1"/>
        </xdr:cNvSpPr>
      </xdr:nvSpPr>
      <xdr:spPr bwMode="auto">
        <a:xfrm>
          <a:off x="125638560" y="8183880"/>
          <a:ext cx="3726180" cy="7543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105</xdr:col>
      <xdr:colOff>2257697</xdr:colOff>
      <xdr:row>43</xdr:row>
      <xdr:rowOff>1361</xdr:rowOff>
    </xdr:from>
    <xdr:to>
      <xdr:col>109</xdr:col>
      <xdr:colOff>102327</xdr:colOff>
      <xdr:row>48</xdr:row>
      <xdr:rowOff>116901</xdr:rowOff>
    </xdr:to>
    <xdr:sp macro="" textlink="">
      <xdr:nvSpPr>
        <xdr:cNvPr id="35055" name="Text Box 239" hidden="1">
          <a:extLst>
            <a:ext uri="{FF2B5EF4-FFF2-40B4-BE49-F238E27FC236}">
              <a16:creationId xmlns:a16="http://schemas.microsoft.com/office/drawing/2014/main" id="{00000000-0008-0000-0300-0000EF880000}"/>
            </a:ext>
          </a:extLst>
        </xdr:cNvPr>
        <xdr:cNvSpPr txBox="1">
          <a:spLocks noChangeArrowheads="1"/>
        </xdr:cNvSpPr>
      </xdr:nvSpPr>
      <xdr:spPr bwMode="auto">
        <a:xfrm>
          <a:off x="133319520" y="8183880"/>
          <a:ext cx="3947160" cy="93726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106</xdr:col>
      <xdr:colOff>756557</xdr:colOff>
      <xdr:row>43</xdr:row>
      <xdr:rowOff>1361</xdr:rowOff>
    </xdr:from>
    <xdr:to>
      <xdr:col>110</xdr:col>
      <xdr:colOff>21590</xdr:colOff>
      <xdr:row>47</xdr:row>
      <xdr:rowOff>135829</xdr:rowOff>
    </xdr:to>
    <xdr:sp macro="" textlink="">
      <xdr:nvSpPr>
        <xdr:cNvPr id="35056" name="Text Box 240" hidden="1">
          <a:extLst>
            <a:ext uri="{FF2B5EF4-FFF2-40B4-BE49-F238E27FC236}">
              <a16:creationId xmlns:a16="http://schemas.microsoft.com/office/drawing/2014/main" id="{00000000-0008-0000-0300-0000F0880000}"/>
            </a:ext>
          </a:extLst>
        </xdr:cNvPr>
        <xdr:cNvSpPr txBox="1">
          <a:spLocks noChangeArrowheads="1"/>
        </xdr:cNvSpPr>
      </xdr:nvSpPr>
      <xdr:spPr bwMode="auto">
        <a:xfrm>
          <a:off x="134386320" y="8183880"/>
          <a:ext cx="3718560" cy="7543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98</xdr:col>
      <xdr:colOff>2420438</xdr:colOff>
      <xdr:row>44</xdr:row>
      <xdr:rowOff>47625</xdr:rowOff>
    </xdr:from>
    <xdr:to>
      <xdr:col>99</xdr:col>
      <xdr:colOff>1109799</xdr:colOff>
      <xdr:row>48</xdr:row>
      <xdr:rowOff>55941</xdr:rowOff>
    </xdr:to>
    <xdr:sp macro="" textlink="">
      <xdr:nvSpPr>
        <xdr:cNvPr id="35057" name="Text Box 241" hidden="1">
          <a:extLst>
            <a:ext uri="{FF2B5EF4-FFF2-40B4-BE49-F238E27FC236}">
              <a16:creationId xmlns:a16="http://schemas.microsoft.com/office/drawing/2014/main" id="{00000000-0008-0000-0300-0000F1880000}"/>
            </a:ext>
          </a:extLst>
        </xdr:cNvPr>
        <xdr:cNvSpPr txBox="1">
          <a:spLocks noChangeArrowheads="1"/>
        </xdr:cNvSpPr>
      </xdr:nvSpPr>
      <xdr:spPr bwMode="auto">
        <a:xfrm>
          <a:off x="124541280" y="8382000"/>
          <a:ext cx="1257300" cy="6781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105</xdr:col>
      <xdr:colOff>2257697</xdr:colOff>
      <xdr:row>44</xdr:row>
      <xdr:rowOff>47625</xdr:rowOff>
    </xdr:from>
    <xdr:to>
      <xdr:col>106</xdr:col>
      <xdr:colOff>947057</xdr:colOff>
      <xdr:row>48</xdr:row>
      <xdr:rowOff>55941</xdr:rowOff>
    </xdr:to>
    <xdr:sp macro="" textlink="">
      <xdr:nvSpPr>
        <xdr:cNvPr id="35058" name="Text Box 242" hidden="1">
          <a:extLst>
            <a:ext uri="{FF2B5EF4-FFF2-40B4-BE49-F238E27FC236}">
              <a16:creationId xmlns:a16="http://schemas.microsoft.com/office/drawing/2014/main" id="{00000000-0008-0000-0300-0000F2880000}"/>
            </a:ext>
          </a:extLst>
        </xdr:cNvPr>
        <xdr:cNvSpPr txBox="1">
          <a:spLocks noChangeArrowheads="1"/>
        </xdr:cNvSpPr>
      </xdr:nvSpPr>
      <xdr:spPr bwMode="auto">
        <a:xfrm>
          <a:off x="133319520" y="8382000"/>
          <a:ext cx="1257300" cy="6781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949779</xdr:colOff>
      <xdr:row>47</xdr:row>
      <xdr:rowOff>52009</xdr:rowOff>
    </xdr:from>
    <xdr:to>
      <xdr:col>102</xdr:col>
      <xdr:colOff>192677</xdr:colOff>
      <xdr:row>51</xdr:row>
      <xdr:rowOff>156453</xdr:rowOff>
    </xdr:to>
    <xdr:sp macro="" textlink="">
      <xdr:nvSpPr>
        <xdr:cNvPr id="35059" name="Text Box 243" hidden="1">
          <a:extLst>
            <a:ext uri="{FF2B5EF4-FFF2-40B4-BE49-F238E27FC236}">
              <a16:creationId xmlns:a16="http://schemas.microsoft.com/office/drawing/2014/main" id="{00000000-0008-0000-0300-0000F3880000}"/>
            </a:ext>
          </a:extLst>
        </xdr:cNvPr>
        <xdr:cNvSpPr txBox="1">
          <a:spLocks noChangeArrowheads="1"/>
        </xdr:cNvSpPr>
      </xdr:nvSpPr>
      <xdr:spPr bwMode="auto">
        <a:xfrm>
          <a:off x="125638560" y="8854440"/>
          <a:ext cx="2811780" cy="762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106</xdr:col>
      <xdr:colOff>756557</xdr:colOff>
      <xdr:row>47</xdr:row>
      <xdr:rowOff>52009</xdr:rowOff>
    </xdr:from>
    <xdr:to>
      <xdr:col>109</xdr:col>
      <xdr:colOff>18507</xdr:colOff>
      <xdr:row>51</xdr:row>
      <xdr:rowOff>156453</xdr:rowOff>
    </xdr:to>
    <xdr:sp macro="" textlink="">
      <xdr:nvSpPr>
        <xdr:cNvPr id="35060" name="Text Box 244" hidden="1">
          <a:extLst>
            <a:ext uri="{FF2B5EF4-FFF2-40B4-BE49-F238E27FC236}">
              <a16:creationId xmlns:a16="http://schemas.microsoft.com/office/drawing/2014/main" id="{00000000-0008-0000-0300-0000F4880000}"/>
            </a:ext>
          </a:extLst>
        </xdr:cNvPr>
        <xdr:cNvSpPr txBox="1">
          <a:spLocks noChangeArrowheads="1"/>
        </xdr:cNvSpPr>
      </xdr:nvSpPr>
      <xdr:spPr bwMode="auto">
        <a:xfrm>
          <a:off x="134386320" y="8854440"/>
          <a:ext cx="2796540" cy="762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99</xdr:col>
      <xdr:colOff>949779</xdr:colOff>
      <xdr:row>54</xdr:row>
      <xdr:rowOff>66070</xdr:rowOff>
    </xdr:from>
    <xdr:to>
      <xdr:col>102</xdr:col>
      <xdr:colOff>143147</xdr:colOff>
      <xdr:row>58</xdr:row>
      <xdr:rowOff>122193</xdr:rowOff>
    </xdr:to>
    <xdr:sp macro="" textlink="">
      <xdr:nvSpPr>
        <xdr:cNvPr id="35061" name="Text Box 245" hidden="1">
          <a:extLst>
            <a:ext uri="{FF2B5EF4-FFF2-40B4-BE49-F238E27FC236}">
              <a16:creationId xmlns:a16="http://schemas.microsoft.com/office/drawing/2014/main" id="{00000000-0008-0000-0300-0000F5880000}"/>
            </a:ext>
          </a:extLst>
        </xdr:cNvPr>
        <xdr:cNvSpPr txBox="1">
          <a:spLocks noChangeArrowheads="1"/>
        </xdr:cNvSpPr>
      </xdr:nvSpPr>
      <xdr:spPr bwMode="auto">
        <a:xfrm>
          <a:off x="125638560" y="10012680"/>
          <a:ext cx="274320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106</xdr:col>
      <xdr:colOff>756557</xdr:colOff>
      <xdr:row>54</xdr:row>
      <xdr:rowOff>66070</xdr:rowOff>
    </xdr:from>
    <xdr:to>
      <xdr:col>108</xdr:col>
      <xdr:colOff>845277</xdr:colOff>
      <xdr:row>58</xdr:row>
      <xdr:rowOff>122193</xdr:rowOff>
    </xdr:to>
    <xdr:sp macro="" textlink="">
      <xdr:nvSpPr>
        <xdr:cNvPr id="35062" name="Text Box 246" hidden="1">
          <a:extLst>
            <a:ext uri="{FF2B5EF4-FFF2-40B4-BE49-F238E27FC236}">
              <a16:creationId xmlns:a16="http://schemas.microsoft.com/office/drawing/2014/main" id="{00000000-0008-0000-0300-0000F6880000}"/>
            </a:ext>
          </a:extLst>
        </xdr:cNvPr>
        <xdr:cNvSpPr txBox="1">
          <a:spLocks noChangeArrowheads="1"/>
        </xdr:cNvSpPr>
      </xdr:nvSpPr>
      <xdr:spPr bwMode="auto">
        <a:xfrm>
          <a:off x="134386320" y="10012680"/>
          <a:ext cx="2766060" cy="876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2072640</xdr:colOff>
      <xdr:row>0</xdr:row>
      <xdr:rowOff>220980</xdr:rowOff>
    </xdr:from>
    <xdr:to>
      <xdr:col>5</xdr:col>
      <xdr:colOff>769620</xdr:colOff>
      <xdr:row>2</xdr:row>
      <xdr:rowOff>30480</xdr:rowOff>
    </xdr:to>
    <xdr:pic>
      <xdr:nvPicPr>
        <xdr:cNvPr id="36555" name="Grafik 2">
          <a:extLst>
            <a:ext uri="{FF2B5EF4-FFF2-40B4-BE49-F238E27FC236}">
              <a16:creationId xmlns:a16="http://schemas.microsoft.com/office/drawing/2014/main" id="{00000000-0008-0000-0400-0000CB8E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0560" y="220980"/>
          <a:ext cx="396240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556260</xdr:colOff>
      <xdr:row>22</xdr:row>
      <xdr:rowOff>192979</xdr:rowOff>
    </xdr:from>
    <xdr:to>
      <xdr:col>8</xdr:col>
      <xdr:colOff>160443</xdr:colOff>
      <xdr:row>24</xdr:row>
      <xdr:rowOff>120409</xdr:rowOff>
    </xdr:to>
    <xdr:sp macro="" textlink="">
      <xdr:nvSpPr>
        <xdr:cNvPr id="35870" name="Text Box 30" hidden="1">
          <a:extLst>
            <a:ext uri="{FF2B5EF4-FFF2-40B4-BE49-F238E27FC236}">
              <a16:creationId xmlns:a16="http://schemas.microsoft.com/office/drawing/2014/main" id="{00000000-0008-0000-0400-00001E8C0000}"/>
            </a:ext>
          </a:extLst>
        </xdr:cNvPr>
        <xdr:cNvSpPr txBox="1">
          <a:spLocks noChangeArrowheads="1"/>
        </xdr:cNvSpPr>
      </xdr:nvSpPr>
      <xdr:spPr bwMode="auto">
        <a:xfrm>
          <a:off x="8229600" y="4831080"/>
          <a:ext cx="2072640" cy="33528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91440</xdr:rowOff>
    </xdr:from>
    <xdr:to>
      <xdr:col>5</xdr:col>
      <xdr:colOff>723900</xdr:colOff>
      <xdr:row>18</xdr:row>
      <xdr:rowOff>701040</xdr:rowOff>
    </xdr:to>
    <xdr:graphicFrame macro="">
      <xdr:nvGraphicFramePr>
        <xdr:cNvPr id="37605" name="Chart 1">
          <a:extLst>
            <a:ext uri="{FF2B5EF4-FFF2-40B4-BE49-F238E27FC236}">
              <a16:creationId xmlns:a16="http://schemas.microsoft.com/office/drawing/2014/main" id="{00000000-0008-0000-0500-0000E5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60960</xdr:colOff>
      <xdr:row>0</xdr:row>
      <xdr:rowOff>198120</xdr:rowOff>
    </xdr:from>
    <xdr:to>
      <xdr:col>6</xdr:col>
      <xdr:colOff>1028700</xdr:colOff>
      <xdr:row>1</xdr:row>
      <xdr:rowOff>228600</xdr:rowOff>
    </xdr:to>
    <xdr:pic>
      <xdr:nvPicPr>
        <xdr:cNvPr id="37606" name="Grafik 3">
          <a:extLst>
            <a:ext uri="{FF2B5EF4-FFF2-40B4-BE49-F238E27FC236}">
              <a16:creationId xmlns:a16="http://schemas.microsoft.com/office/drawing/2014/main" id="{00000000-0008-0000-0500-0000E69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36720" y="198120"/>
          <a:ext cx="46939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160020</xdr:colOff>
      <xdr:row>0</xdr:row>
      <xdr:rowOff>190500</xdr:rowOff>
    </xdr:from>
    <xdr:to>
      <xdr:col>5</xdr:col>
      <xdr:colOff>213360</xdr:colOff>
      <xdr:row>1</xdr:row>
      <xdr:rowOff>262255</xdr:rowOff>
    </xdr:to>
    <xdr:pic>
      <xdr:nvPicPr>
        <xdr:cNvPr id="25330" name="Grafik 2">
          <a:extLst>
            <a:ext uri="{FF2B5EF4-FFF2-40B4-BE49-F238E27FC236}">
              <a16:creationId xmlns:a16="http://schemas.microsoft.com/office/drawing/2014/main" id="{00000000-0008-0000-0600-0000F262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8160" y="190500"/>
          <a:ext cx="512064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Varianteneingeben"/>
  <dimension ref="A1:T380"/>
  <sheetViews>
    <sheetView tabSelected="1" zoomScale="90" zoomScaleNormal="90" workbookViewId="0">
      <selection activeCell="N3" sqref="N3"/>
    </sheetView>
  </sheetViews>
  <sheetFormatPr baseColWidth="10" defaultColWidth="11.42578125" defaultRowHeight="12.75" x14ac:dyDescent="0.2"/>
  <cols>
    <col min="1" max="1" width="30.140625" style="20" customWidth="1"/>
    <col min="2" max="2" width="15.85546875" style="68" bestFit="1" customWidth="1"/>
    <col min="3" max="3" width="10.7109375" style="68" bestFit="1" customWidth="1"/>
    <col min="4" max="4" width="15.85546875" style="62" bestFit="1" customWidth="1"/>
    <col min="5" max="5" width="5" style="20" customWidth="1"/>
    <col min="6" max="6" width="12.28515625" style="20" customWidth="1"/>
    <col min="7" max="7" width="44.5703125" style="20" customWidth="1"/>
    <col min="8" max="8" width="14.85546875" style="20" bestFit="1" customWidth="1"/>
    <col min="9" max="9" width="10.85546875" style="20" customWidth="1"/>
    <col min="10" max="10" width="14.7109375" style="20" bestFit="1" customWidth="1"/>
    <col min="11" max="11" width="3.7109375" style="20" customWidth="1"/>
    <col min="12" max="16384" width="11.42578125" style="20"/>
  </cols>
  <sheetData>
    <row r="1" spans="1:17" ht="33" customHeight="1" x14ac:dyDescent="0.4">
      <c r="A1" s="827" t="str">
        <f>'Standard Vorgaben'!A1</f>
        <v>Arbokost 2024</v>
      </c>
      <c r="B1" s="632" t="str">
        <f>'Standard Erstellung'!B1</f>
        <v>Tafelkirsche</v>
      </c>
      <c r="C1" s="638" t="s">
        <v>390</v>
      </c>
      <c r="D1" s="633"/>
      <c r="E1" s="633"/>
      <c r="F1" s="633"/>
      <c r="G1" s="634"/>
      <c r="H1" s="959"/>
      <c r="I1" s="333"/>
      <c r="J1" s="960"/>
    </row>
    <row r="2" spans="1:17" ht="42" customHeight="1" x14ac:dyDescent="0.3">
      <c r="B2" s="1371" t="s">
        <v>586</v>
      </c>
      <c r="C2" s="1371"/>
      <c r="D2" s="1371"/>
      <c r="E2" s="1371"/>
      <c r="F2" s="638" t="str">
        <f>'Standard Vorgaben'!B10</f>
        <v>Bio</v>
      </c>
      <c r="H2" s="960"/>
      <c r="I2" s="960"/>
      <c r="J2" s="569"/>
    </row>
    <row r="3" spans="1:17" ht="23.25" customHeight="1" x14ac:dyDescent="0.2">
      <c r="A3" s="636" t="s">
        <v>392</v>
      </c>
      <c r="B3" s="635">
        <f>'Standard Vorgaben'!B22</f>
        <v>4</v>
      </c>
      <c r="C3" s="1372" t="s">
        <v>391</v>
      </c>
      <c r="D3" s="1372"/>
      <c r="E3" s="637"/>
      <c r="F3" s="635">
        <f>'Standard Vorgaben'!B24</f>
        <v>12</v>
      </c>
      <c r="G3" s="811">
        <f>'Standard Erstellung'!E16</f>
        <v>900</v>
      </c>
      <c r="H3" s="960"/>
      <c r="I3" s="960"/>
      <c r="J3" s="960"/>
    </row>
    <row r="4" spans="1:17" ht="15.6" customHeight="1" x14ac:dyDescent="0.2">
      <c r="A4" s="1373" t="s">
        <v>471</v>
      </c>
      <c r="B4" s="1373"/>
      <c r="C4" s="1373"/>
      <c r="D4" s="1373"/>
      <c r="E4" s="1373"/>
      <c r="F4" s="1373"/>
      <c r="G4" s="1373"/>
      <c r="H4" s="1142"/>
      <c r="I4" s="960"/>
      <c r="J4" s="960"/>
    </row>
    <row r="5" spans="1:17" ht="15.6" customHeight="1" x14ac:dyDescent="0.2">
      <c r="A5" s="960" t="s">
        <v>583</v>
      </c>
      <c r="B5" s="1141"/>
      <c r="C5" s="1141"/>
      <c r="D5" s="1141"/>
      <c r="E5" s="1141"/>
      <c r="F5" s="1141"/>
      <c r="G5" s="1141"/>
      <c r="H5" s="1142"/>
      <c r="I5" s="960"/>
      <c r="J5" s="960"/>
    </row>
    <row r="6" spans="1:17" ht="12.95" customHeight="1" x14ac:dyDescent="0.2">
      <c r="B6" s="1125"/>
      <c r="C6" s="1125"/>
      <c r="D6" s="1125"/>
      <c r="E6" s="1125"/>
      <c r="F6" s="1125"/>
      <c r="G6" s="1125"/>
      <c r="H6" s="960"/>
      <c r="I6" s="960"/>
      <c r="J6" s="960"/>
    </row>
    <row r="7" spans="1:17" ht="19.5" customHeight="1" thickBot="1" x14ac:dyDescent="0.35">
      <c r="A7" s="641"/>
      <c r="B7" s="642" t="s">
        <v>79</v>
      </c>
      <c r="C7" s="172" t="s">
        <v>137</v>
      </c>
      <c r="D7" s="826" t="s">
        <v>152</v>
      </c>
      <c r="E7" s="4"/>
      <c r="F7" s="828" t="s">
        <v>135</v>
      </c>
      <c r="G7" s="828"/>
      <c r="H7" s="642" t="s">
        <v>79</v>
      </c>
      <c r="I7" s="172" t="s">
        <v>136</v>
      </c>
      <c r="J7" s="826" t="s">
        <v>152</v>
      </c>
    </row>
    <row r="8" spans="1:17" ht="17.45" customHeight="1" thickTop="1" x14ac:dyDescent="0.25">
      <c r="A8" s="657" t="s">
        <v>461</v>
      </c>
      <c r="B8" s="961">
        <f>'Standard Vorgaben'!B41</f>
        <v>8.1999999999999993</v>
      </c>
      <c r="C8" s="658">
        <f t="shared" ref="C8:C12" si="0">IF(OR(B8=0,B8=""),0,(D8/B8)-1)</f>
        <v>0</v>
      </c>
      <c r="D8" s="1278">
        <v>8.1999999999999993</v>
      </c>
      <c r="E8" s="960"/>
      <c r="F8" s="377" t="s">
        <v>237</v>
      </c>
      <c r="G8" s="378"/>
      <c r="H8" s="823">
        <f>H72</f>
        <v>32.504023257713293</v>
      </c>
      <c r="I8" s="171">
        <f>IF(OR(H8=0,H8=""),0,(J8/H8)-1)</f>
        <v>0</v>
      </c>
      <c r="J8" s="829">
        <f>J72</f>
        <v>32.504023257713293</v>
      </c>
    </row>
    <row r="9" spans="1:17" ht="17.45" customHeight="1" x14ac:dyDescent="0.2">
      <c r="A9" s="657" t="s">
        <v>558</v>
      </c>
      <c r="B9" s="961">
        <f>'Standard Vorgaben'!C41</f>
        <v>0</v>
      </c>
      <c r="C9" s="658">
        <f t="shared" si="0"/>
        <v>0</v>
      </c>
      <c r="D9" s="1278">
        <v>0</v>
      </c>
      <c r="E9" s="960"/>
      <c r="F9" s="378" t="s">
        <v>271</v>
      </c>
      <c r="G9" s="378"/>
      <c r="H9" s="824">
        <f>H69</f>
        <v>24.996730252905863</v>
      </c>
      <c r="I9" s="171">
        <f>IF(OR(H9=0,H9=""),0,(J9/H9)-1)</f>
        <v>0</v>
      </c>
      <c r="J9" s="830">
        <f>J69</f>
        <v>24.996730252905863</v>
      </c>
    </row>
    <row r="10" spans="1:17" ht="18" customHeight="1" x14ac:dyDescent="0.2">
      <c r="A10" s="657" t="str">
        <f>A8</f>
        <v xml:space="preserve">                                       22+ mm</v>
      </c>
      <c r="B10" s="964">
        <f>'Standard Vorgaben'!B81</f>
        <v>0.90000000000000024</v>
      </c>
      <c r="C10" s="658">
        <f t="shared" si="0"/>
        <v>0</v>
      </c>
      <c r="D10" s="1279">
        <v>0.90000000000000024</v>
      </c>
      <c r="E10" s="960"/>
      <c r="F10" s="1243"/>
      <c r="G10" s="1243"/>
      <c r="H10" s="824"/>
      <c r="I10" s="171"/>
      <c r="J10" s="830"/>
    </row>
    <row r="11" spans="1:17" ht="18" customHeight="1" x14ac:dyDescent="0.25">
      <c r="A11" s="657" t="str">
        <f>A9</f>
        <v xml:space="preserve">                                       Abgang</v>
      </c>
      <c r="B11" s="964">
        <f>'Standard Vorgaben'!C81</f>
        <v>9.9999999999999992E-2</v>
      </c>
      <c r="C11" s="658">
        <f t="shared" si="0"/>
        <v>0</v>
      </c>
      <c r="D11" s="1279">
        <v>9.9999999999999992E-2</v>
      </c>
      <c r="E11" s="960"/>
      <c r="F11" s="377" t="s">
        <v>438</v>
      </c>
      <c r="G11" s="378"/>
      <c r="H11" s="825">
        <f>B53</f>
        <v>8.4887401342932023</v>
      </c>
      <c r="I11" s="171">
        <f>IF(OR(H11=0,H11=""),0,(J11/H11)-1)</f>
        <v>0</v>
      </c>
      <c r="J11" s="831">
        <f>D53</f>
        <v>8.4887401342932023</v>
      </c>
    </row>
    <row r="12" spans="1:17" ht="27.75" customHeight="1" thickBot="1" x14ac:dyDescent="0.25">
      <c r="A12" s="321" t="s">
        <v>270</v>
      </c>
      <c r="B12" s="822">
        <f>'Standard Vorgaben'!D59</f>
        <v>10000</v>
      </c>
      <c r="C12" s="323">
        <f t="shared" si="0"/>
        <v>0</v>
      </c>
      <c r="D12" s="1280">
        <v>10000</v>
      </c>
      <c r="E12" s="960"/>
      <c r="F12" s="378" t="s">
        <v>272</v>
      </c>
      <c r="G12" s="378"/>
      <c r="H12" s="962">
        <f>B51</f>
        <v>7.6398661208638838</v>
      </c>
      <c r="I12" s="171">
        <f>IF(OR(H12=0,H12=""),0,(J12/H12)-1)</f>
        <v>0</v>
      </c>
      <c r="J12" s="963">
        <f>D51</f>
        <v>7.6398661208638838</v>
      </c>
    </row>
    <row r="13" spans="1:17" ht="2.25" customHeight="1" thickTop="1" x14ac:dyDescent="0.2">
      <c r="B13" s="966"/>
      <c r="D13" s="1281"/>
      <c r="F13" s="965"/>
      <c r="G13" s="820"/>
      <c r="H13" s="820"/>
      <c r="I13" s="820"/>
      <c r="J13" s="820"/>
    </row>
    <row r="14" spans="1:17" ht="22.5" customHeight="1" x14ac:dyDescent="0.2">
      <c r="A14" s="321" t="s">
        <v>443</v>
      </c>
      <c r="B14" s="967">
        <f>'Standard Vorgaben'!D81</f>
        <v>12</v>
      </c>
      <c r="C14" s="658">
        <f t="shared" ref="C14:C19" si="1">IF(OR(B14=0,B14=""),0,(D14/B14)-1)</f>
        <v>0</v>
      </c>
      <c r="D14" s="1282">
        <v>12</v>
      </c>
      <c r="E14" s="960"/>
      <c r="M14" s="819"/>
    </row>
    <row r="15" spans="1:17" ht="20.25" customHeight="1" x14ac:dyDescent="0.2">
      <c r="A15" s="646" t="s">
        <v>589</v>
      </c>
      <c r="B15" s="968">
        <f>'Standard Vorgaben'!G35</f>
        <v>0.25</v>
      </c>
      <c r="C15" s="658">
        <f>IF(OR(B15=0,B15=""),0,(D15/B15)-1)</f>
        <v>0</v>
      </c>
      <c r="D15" s="1283">
        <v>0.25</v>
      </c>
      <c r="E15" s="960"/>
      <c r="F15" s="965"/>
      <c r="G15" s="820"/>
      <c r="H15" s="820"/>
      <c r="I15" s="820"/>
      <c r="J15" s="820"/>
      <c r="M15" s="969"/>
      <c r="N15" s="62"/>
      <c r="O15" s="62"/>
      <c r="P15" s="62"/>
      <c r="Q15" s="62"/>
    </row>
    <row r="16" spans="1:17" ht="27.75" customHeight="1" x14ac:dyDescent="0.2">
      <c r="A16" s="321" t="s">
        <v>418</v>
      </c>
      <c r="B16" s="927">
        <f>'Standard Vorgaben'!C27</f>
        <v>41.4</v>
      </c>
      <c r="C16" s="323">
        <f t="shared" si="1"/>
        <v>0</v>
      </c>
      <c r="D16" s="1284">
        <v>41.4</v>
      </c>
      <c r="E16" s="960"/>
      <c r="F16" s="965"/>
      <c r="G16" s="820"/>
      <c r="H16" s="820"/>
      <c r="I16" s="820"/>
      <c r="J16" s="820"/>
    </row>
    <row r="17" spans="1:10" ht="27.75" customHeight="1" x14ac:dyDescent="0.2">
      <c r="A17" s="321" t="s">
        <v>255</v>
      </c>
      <c r="B17" s="927">
        <f>'Standard Vorgaben'!C28</f>
        <v>24</v>
      </c>
      <c r="C17" s="323">
        <f t="shared" si="1"/>
        <v>0</v>
      </c>
      <c r="D17" s="1284">
        <v>24</v>
      </c>
      <c r="E17" s="960"/>
      <c r="F17" s="965"/>
      <c r="G17" s="820"/>
      <c r="H17" s="820"/>
      <c r="I17" s="820"/>
      <c r="J17" s="820"/>
    </row>
    <row r="18" spans="1:10" ht="27.75" customHeight="1" x14ac:dyDescent="0.2">
      <c r="A18" s="321" t="s">
        <v>256</v>
      </c>
      <c r="B18" s="927">
        <f>'Standard Vorgaben'!C29</f>
        <v>21.5</v>
      </c>
      <c r="C18" s="323">
        <f t="shared" si="1"/>
        <v>0</v>
      </c>
      <c r="D18" s="1284">
        <v>21.5</v>
      </c>
      <c r="E18" s="960"/>
      <c r="F18" s="965"/>
      <c r="G18" s="820"/>
      <c r="H18" s="820"/>
      <c r="I18" s="820"/>
      <c r="J18" s="820"/>
    </row>
    <row r="19" spans="1:10" ht="27.75" customHeight="1" x14ac:dyDescent="0.2">
      <c r="A19" s="970" t="s">
        <v>234</v>
      </c>
      <c r="B19" s="841">
        <f>'Standard Vorgaben'!F29</f>
        <v>0.9</v>
      </c>
      <c r="C19" s="323">
        <f t="shared" si="1"/>
        <v>0</v>
      </c>
      <c r="D19" s="1285">
        <v>0.9</v>
      </c>
      <c r="E19" s="960"/>
      <c r="F19" s="965"/>
      <c r="G19" s="820"/>
      <c r="H19" s="820"/>
      <c r="I19" s="820"/>
      <c r="J19" s="820"/>
    </row>
    <row r="20" spans="1:10" ht="10.5" customHeight="1" x14ac:dyDescent="0.2">
      <c r="A20" s="77"/>
      <c r="B20" s="971"/>
      <c r="C20" s="658"/>
      <c r="D20" s="1286"/>
      <c r="E20" s="960"/>
      <c r="F20" s="965"/>
      <c r="G20" s="820"/>
      <c r="H20" s="820"/>
      <c r="I20" s="820"/>
      <c r="J20" s="820"/>
    </row>
    <row r="21" spans="1:10" ht="19.5" customHeight="1" x14ac:dyDescent="0.2">
      <c r="A21" s="321" t="s">
        <v>350</v>
      </c>
      <c r="B21" s="971">
        <f>'Standard Erstellung'!E16</f>
        <v>900</v>
      </c>
      <c r="C21" s="658">
        <f>IF(OR(B21=0,B21=""),0,(D21/B21)-1)</f>
        <v>0</v>
      </c>
      <c r="D21" s="1286">
        <v>900</v>
      </c>
      <c r="E21" s="960"/>
      <c r="F21" s="965"/>
      <c r="G21" s="820"/>
      <c r="H21" s="820"/>
      <c r="I21" s="820"/>
      <c r="J21" s="820"/>
    </row>
    <row r="22" spans="1:10" ht="19.5" customHeight="1" x14ac:dyDescent="0.2">
      <c r="A22" s="321" t="s">
        <v>16</v>
      </c>
      <c r="B22" s="972">
        <f>'Standard Erstellung'!D21</f>
        <v>22</v>
      </c>
      <c r="C22" s="658">
        <f>IF(OR(B22=0,B22=""),0,(D22/B22)-1)</f>
        <v>0</v>
      </c>
      <c r="D22" s="1287">
        <v>22</v>
      </c>
      <c r="E22" s="960"/>
      <c r="F22" s="965"/>
      <c r="G22" s="820"/>
      <c r="H22" s="820"/>
      <c r="I22" s="820"/>
      <c r="J22" s="820"/>
    </row>
    <row r="23" spans="1:10" x14ac:dyDescent="0.2">
      <c r="A23" s="4"/>
      <c r="B23" s="973"/>
      <c r="C23" s="974"/>
      <c r="D23" s="1288"/>
      <c r="E23" s="960"/>
      <c r="F23" s="965"/>
      <c r="G23" s="820"/>
      <c r="H23" s="820"/>
      <c r="I23" s="820"/>
      <c r="J23" s="820"/>
    </row>
    <row r="24" spans="1:10" x14ac:dyDescent="0.2">
      <c r="A24" s="77" t="s">
        <v>351</v>
      </c>
      <c r="B24" s="975">
        <f>'Standard Ertragsphase'!F55</f>
        <v>10932.607692307693</v>
      </c>
      <c r="C24" s="658">
        <f>IF(OR(B24=0,B24=""),0,(D24/B24)-1)</f>
        <v>0</v>
      </c>
      <c r="D24" s="1289">
        <v>10932.607692307693</v>
      </c>
      <c r="E24" s="960"/>
      <c r="F24" s="965"/>
      <c r="G24" s="820"/>
      <c r="H24" s="820"/>
      <c r="I24" s="820"/>
      <c r="J24" s="820"/>
    </row>
    <row r="25" spans="1:10" ht="9.6" customHeight="1" x14ac:dyDescent="0.2">
      <c r="A25" s="4"/>
      <c r="B25" s="973"/>
      <c r="C25" s="976"/>
      <c r="D25" s="1289"/>
      <c r="E25" s="960"/>
      <c r="F25" s="965"/>
      <c r="G25" s="820"/>
      <c r="H25" s="820"/>
      <c r="I25" s="820"/>
      <c r="J25" s="820"/>
    </row>
    <row r="26" spans="1:10" x14ac:dyDescent="0.2">
      <c r="A26" s="77" t="s">
        <v>353</v>
      </c>
      <c r="B26" s="975">
        <f>'Standard Ertragsphase'!F21-'Standard Ertragsphase'!F20</f>
        <v>1860.2999999999997</v>
      </c>
      <c r="C26" s="658">
        <f>IF(OR(B26=0,B26=""),0,(D26/B26)-1)</f>
        <v>0</v>
      </c>
      <c r="D26" s="1289">
        <v>1860.2999999999997</v>
      </c>
      <c r="E26" s="960"/>
      <c r="F26" s="965"/>
      <c r="G26" s="820"/>
      <c r="H26" s="820"/>
      <c r="I26" s="820"/>
      <c r="J26" s="820"/>
    </row>
    <row r="27" spans="1:10" ht="8.1" customHeight="1" x14ac:dyDescent="0.2">
      <c r="A27" s="4"/>
      <c r="B27" s="975"/>
      <c r="C27" s="977"/>
      <c r="D27" s="1289"/>
      <c r="E27" s="960"/>
      <c r="F27" s="965"/>
      <c r="G27" s="820"/>
      <c r="H27" s="820"/>
      <c r="I27" s="820"/>
      <c r="J27" s="820"/>
    </row>
    <row r="28" spans="1:10" x14ac:dyDescent="0.2">
      <c r="A28" s="104" t="s">
        <v>352</v>
      </c>
      <c r="B28" s="975">
        <f>'Standard Ertragsphase'!F16</f>
        <v>1043.3333333333335</v>
      </c>
      <c r="C28" s="658">
        <f>IF(OR(B28=0,B28=""),0,(D28/B28)-1)</f>
        <v>0</v>
      </c>
      <c r="D28" s="1289">
        <v>1043.3333333333335</v>
      </c>
      <c r="E28" s="960"/>
      <c r="F28" s="965"/>
      <c r="G28" s="820"/>
      <c r="H28" s="820"/>
      <c r="I28" s="820"/>
      <c r="J28" s="820"/>
    </row>
    <row r="29" spans="1:10" ht="8.1" customHeight="1" x14ac:dyDescent="0.2">
      <c r="A29" s="76"/>
      <c r="B29" s="973"/>
      <c r="C29" s="658"/>
      <c r="D29" s="1289"/>
      <c r="E29" s="960"/>
      <c r="F29" s="965"/>
      <c r="G29" s="820"/>
      <c r="H29" s="820"/>
      <c r="I29" s="820"/>
      <c r="J29" s="820"/>
    </row>
    <row r="30" spans="1:10" ht="12.75" customHeight="1" x14ac:dyDescent="0.2">
      <c r="A30" s="77" t="s">
        <v>506</v>
      </c>
      <c r="B30" s="973">
        <f>'Standard Vorgaben'!C195</f>
        <v>0</v>
      </c>
      <c r="C30" s="658">
        <f>IF(OR(B30=0,B30=""),0,(D30/B30)-1)</f>
        <v>0</v>
      </c>
      <c r="D30" s="1290">
        <v>0</v>
      </c>
      <c r="E30" s="960"/>
      <c r="F30" s="965"/>
      <c r="G30" s="820"/>
      <c r="H30" s="820"/>
      <c r="I30" s="820"/>
      <c r="J30" s="820"/>
    </row>
    <row r="31" spans="1:10" ht="8.1" customHeight="1" x14ac:dyDescent="0.2">
      <c r="A31" s="76"/>
      <c r="B31" s="973"/>
      <c r="C31" s="658"/>
      <c r="D31" s="1289"/>
      <c r="E31" s="960"/>
      <c r="F31" s="965"/>
      <c r="G31" s="820"/>
      <c r="H31" s="820"/>
      <c r="I31" s="820"/>
      <c r="J31" s="820"/>
    </row>
    <row r="32" spans="1:10" x14ac:dyDescent="0.2">
      <c r="A32" s="77" t="s">
        <v>354</v>
      </c>
      <c r="B32" s="972">
        <f>'Standard Vorgaben'!D183</f>
        <v>1.5</v>
      </c>
      <c r="C32" s="658">
        <f>IF(OR(B32=0,B32=""),0,(D32/B32)-1)</f>
        <v>0</v>
      </c>
      <c r="D32" s="1287">
        <v>1.5</v>
      </c>
      <c r="E32" s="960"/>
      <c r="F32" s="960"/>
    </row>
    <row r="33" spans="1:20" ht="7.5" customHeight="1" x14ac:dyDescent="0.2">
      <c r="A33" s="76"/>
      <c r="B33" s="978"/>
      <c r="C33" s="658"/>
      <c r="D33" s="1291"/>
      <c r="E33" s="960"/>
      <c r="F33" s="960"/>
      <c r="M33" s="20" t="s">
        <v>449</v>
      </c>
    </row>
    <row r="34" spans="1:20" ht="13.5" thickBot="1" x14ac:dyDescent="0.25">
      <c r="A34" s="77" t="s">
        <v>17</v>
      </c>
      <c r="B34" s="979">
        <f>'Standard Vorgaben'!C35</f>
        <v>1.4999999999999999E-2</v>
      </c>
      <c r="C34" s="658">
        <f>IF(OR(B34=0,B34=""),0,(D34/B34)-1)</f>
        <v>0</v>
      </c>
      <c r="D34" s="1292">
        <v>1.4999999999999999E-2</v>
      </c>
      <c r="E34" s="960"/>
      <c r="F34" s="960"/>
    </row>
    <row r="35" spans="1:20" ht="10.5" customHeight="1" thickTop="1" x14ac:dyDescent="0.2">
      <c r="A35" s="4"/>
      <c r="B35" s="980"/>
      <c r="C35" s="126"/>
      <c r="D35" s="126"/>
      <c r="E35" s="4"/>
    </row>
    <row r="36" spans="1:20" x14ac:dyDescent="0.2">
      <c r="A36" s="4"/>
      <c r="B36" s="980"/>
      <c r="C36" s="126"/>
      <c r="D36" s="126"/>
      <c r="E36" s="4"/>
    </row>
    <row r="37" spans="1:20" x14ac:dyDescent="0.2">
      <c r="A37" s="4"/>
      <c r="B37" s="980"/>
      <c r="C37" s="126"/>
      <c r="D37" s="4"/>
      <c r="E37" s="4"/>
    </row>
    <row r="38" spans="1:20" ht="51" customHeight="1" x14ac:dyDescent="0.2">
      <c r="A38" s="1369" t="s">
        <v>381</v>
      </c>
      <c r="B38" s="1369"/>
      <c r="C38" s="1369"/>
      <c r="D38" s="1369"/>
      <c r="E38" s="659"/>
      <c r="F38" s="1369" t="s">
        <v>273</v>
      </c>
      <c r="G38" s="1370"/>
      <c r="H38" s="1370"/>
      <c r="I38" s="1370"/>
      <c r="J38" s="1370"/>
    </row>
    <row r="39" spans="1:20" s="4" customFormat="1" ht="11.25" customHeight="1" x14ac:dyDescent="0.2">
      <c r="A39" s="649"/>
      <c r="B39" s="649"/>
      <c r="C39" s="649"/>
      <c r="D39" s="649"/>
      <c r="E39" s="659"/>
      <c r="F39" s="649"/>
      <c r="G39" s="650"/>
      <c r="H39" s="650"/>
      <c r="I39" s="650"/>
      <c r="J39" s="650"/>
      <c r="K39" s="20"/>
      <c r="L39" s="20"/>
      <c r="M39" s="20"/>
      <c r="N39" s="20"/>
      <c r="O39" s="20"/>
      <c r="P39" s="20"/>
      <c r="Q39" s="20"/>
      <c r="R39" s="20"/>
      <c r="S39" s="20"/>
      <c r="T39" s="20"/>
    </row>
    <row r="40" spans="1:20" ht="21.2" customHeight="1" thickBot="1" x14ac:dyDescent="0.25">
      <c r="A40" s="297"/>
      <c r="B40" s="832" t="s">
        <v>79</v>
      </c>
      <c r="C40" s="298" t="s">
        <v>136</v>
      </c>
      <c r="D40" s="826" t="s">
        <v>133</v>
      </c>
      <c r="E40" s="659"/>
      <c r="F40" s="659"/>
      <c r="G40" s="981"/>
      <c r="H40" s="642" t="s">
        <v>79</v>
      </c>
      <c r="I40" s="298" t="s">
        <v>136</v>
      </c>
      <c r="J40" s="826" t="s">
        <v>133</v>
      </c>
    </row>
    <row r="41" spans="1:20" ht="15.75" thickTop="1" x14ac:dyDescent="0.2">
      <c r="A41" s="660" t="s">
        <v>393</v>
      </c>
      <c r="B41" s="833">
        <f>'Standard Ertragsphase'!F11</f>
        <v>76500.000000000015</v>
      </c>
      <c r="C41" s="322">
        <f>IF(OR(B41=0,B41=""),0,(D41/B41)-1)</f>
        <v>0</v>
      </c>
      <c r="D41" s="859">
        <f>'Var Ertragsphase'!F11</f>
        <v>76500.000000000015</v>
      </c>
      <c r="E41" s="659"/>
      <c r="F41" s="659"/>
      <c r="G41" s="663" t="s">
        <v>386</v>
      </c>
      <c r="H41" s="838">
        <f>'Standard Ertragsphase'!F82</f>
        <v>37328.325256410259</v>
      </c>
      <c r="I41" s="322">
        <f>IF(OR(H41=0,H41=""),0,(J41/H41)-1)</f>
        <v>0</v>
      </c>
      <c r="J41" s="866">
        <f>'Var Ertragsphase'!F82</f>
        <v>37328.325256410259</v>
      </c>
    </row>
    <row r="42" spans="1:20" s="4" customFormat="1" ht="11.25" customHeight="1" x14ac:dyDescent="0.2">
      <c r="A42" s="647"/>
      <c r="B42" s="846"/>
      <c r="C42" s="659"/>
      <c r="D42" s="874"/>
      <c r="E42" s="659"/>
      <c r="F42" s="659"/>
      <c r="G42" s="982"/>
      <c r="H42" s="983"/>
      <c r="I42" s="982"/>
      <c r="J42" s="984"/>
      <c r="K42" s="20"/>
      <c r="L42" s="20"/>
      <c r="M42" s="20"/>
      <c r="N42" s="20"/>
      <c r="O42" s="20"/>
      <c r="P42" s="20"/>
      <c r="Q42" s="20"/>
      <c r="R42" s="20"/>
      <c r="S42" s="20"/>
      <c r="T42" s="20"/>
    </row>
    <row r="43" spans="1:20" s="4" customFormat="1" ht="15" x14ac:dyDescent="0.2">
      <c r="A43" s="646"/>
      <c r="B43" s="985"/>
      <c r="C43" s="658"/>
      <c r="D43" s="986"/>
      <c r="E43" s="659"/>
      <c r="F43" s="659"/>
      <c r="G43" s="664" t="s">
        <v>274</v>
      </c>
      <c r="H43" s="839">
        <f>'Standard Ertragsphase'!F74</f>
        <v>101.33879136118048</v>
      </c>
      <c r="I43" s="665">
        <f>IF(OR(H43=0,H43=""),0,(J43/H43)-1)</f>
        <v>0</v>
      </c>
      <c r="J43" s="867">
        <f>'Var Ertragsphase'!F74</f>
        <v>101.33879136118048</v>
      </c>
      <c r="K43" s="20"/>
      <c r="L43" s="20"/>
      <c r="M43" s="20"/>
      <c r="N43" s="20"/>
      <c r="O43" s="20"/>
      <c r="P43" s="20"/>
      <c r="Q43" s="20"/>
      <c r="R43" s="20"/>
      <c r="S43" s="20"/>
      <c r="T43" s="20"/>
    </row>
    <row r="44" spans="1:20" x14ac:dyDescent="0.2">
      <c r="A44" s="646"/>
      <c r="B44" s="985"/>
      <c r="C44" s="658"/>
      <c r="D44" s="986"/>
      <c r="E44" s="659"/>
      <c r="F44" s="659"/>
      <c r="G44" s="981"/>
      <c r="H44" s="846"/>
      <c r="I44" s="302"/>
      <c r="J44" s="874"/>
    </row>
    <row r="45" spans="1:20" ht="25.5" customHeight="1" x14ac:dyDescent="0.2">
      <c r="A45" s="646" t="s">
        <v>559</v>
      </c>
      <c r="B45" s="985">
        <f>'Standard Ertragsphase'!F7</f>
        <v>73800.000000000015</v>
      </c>
      <c r="C45" s="658">
        <f>IF(OR(B45=0,B45=""),0,(D45/B45)-1)</f>
        <v>0</v>
      </c>
      <c r="D45" s="986">
        <f>'Var Ertragsphase'!F7</f>
        <v>73800.000000000015</v>
      </c>
      <c r="E45" s="659"/>
      <c r="F45" s="659"/>
      <c r="G45" s="661" t="s">
        <v>450</v>
      </c>
      <c r="H45" s="840">
        <f>'Standard Ertragsphase'!F75</f>
        <v>1.0013264472146237</v>
      </c>
      <c r="I45" s="322">
        <f>IF(OR(H45=0,H45=""),0,(J45/H45)-1)</f>
        <v>0</v>
      </c>
      <c r="J45" s="868">
        <f>'Var Ertragsphase'!F75</f>
        <v>1.0013264472146237</v>
      </c>
    </row>
    <row r="46" spans="1:20" x14ac:dyDescent="0.2">
      <c r="A46" s="646" t="s">
        <v>294</v>
      </c>
      <c r="B46" s="985">
        <f>'Standard Ertragsphase'!F8</f>
        <v>0</v>
      </c>
      <c r="C46" s="658">
        <f>IF(OR(B46=0,B46=""),0,(D46/B46)-1)</f>
        <v>0</v>
      </c>
      <c r="D46" s="986">
        <f>'Var Ertragsphase'!F8</f>
        <v>0</v>
      </c>
      <c r="E46" s="659"/>
      <c r="F46" s="659"/>
      <c r="G46" s="639"/>
      <c r="H46" s="841"/>
      <c r="I46" s="658"/>
      <c r="J46" s="869"/>
    </row>
    <row r="47" spans="1:20" x14ac:dyDescent="0.2">
      <c r="A47" s="987" t="s">
        <v>275</v>
      </c>
      <c r="B47" s="985">
        <f>'Standard Ertragsphase'!F10</f>
        <v>2700</v>
      </c>
      <c r="C47" s="658">
        <f>IF(OR(B47=0,B47=""),0,(D47/B47)-1)</f>
        <v>0</v>
      </c>
      <c r="D47" s="986">
        <f>'Var Ertragsphase'!F10</f>
        <v>2700</v>
      </c>
      <c r="E47" s="659"/>
      <c r="F47" s="659"/>
      <c r="G47" s="981"/>
      <c r="H47" s="846"/>
      <c r="I47" s="659"/>
      <c r="J47" s="874"/>
    </row>
    <row r="48" spans="1:20" ht="12.75" customHeight="1" x14ac:dyDescent="0.2">
      <c r="A48" s="300"/>
      <c r="B48" s="985"/>
      <c r="C48" s="658"/>
      <c r="D48" s="986"/>
      <c r="E48" s="659"/>
      <c r="F48" s="659"/>
      <c r="G48" s="981"/>
      <c r="H48" s="846"/>
      <c r="I48" s="659"/>
      <c r="J48" s="874"/>
    </row>
    <row r="49" spans="1:20" ht="15" customHeight="1" x14ac:dyDescent="0.2">
      <c r="A49" s="981"/>
      <c r="B49" s="834"/>
      <c r="C49" s="658"/>
      <c r="D49" s="860"/>
      <c r="E49" s="659"/>
      <c r="F49" s="659"/>
      <c r="G49" s="981"/>
      <c r="H49" s="846"/>
      <c r="I49" s="659"/>
      <c r="J49" s="874"/>
    </row>
    <row r="50" spans="1:20" ht="15" x14ac:dyDescent="0.2">
      <c r="A50" s="661" t="s">
        <v>382</v>
      </c>
      <c r="B50" s="835">
        <f>'Standard Ertragsphase'!F73</f>
        <v>76398.661208638834</v>
      </c>
      <c r="C50" s="668">
        <f>IF(OR(B50=0,B50=""),0,(D50/B50)-1)</f>
        <v>0</v>
      </c>
      <c r="D50" s="861">
        <f>'Var Ertragsphase'!F73</f>
        <v>76398.661208638834</v>
      </c>
      <c r="E50" s="659"/>
      <c r="F50" s="659"/>
      <c r="G50" s="981"/>
      <c r="H50" s="846"/>
      <c r="I50" s="659"/>
      <c r="J50" s="874"/>
    </row>
    <row r="51" spans="1:20" ht="48.75" customHeight="1" x14ac:dyDescent="0.2">
      <c r="A51" s="988" t="s">
        <v>395</v>
      </c>
      <c r="B51" s="836">
        <f>'Standard Ertragsphase'!F86</f>
        <v>7.6398661208638838</v>
      </c>
      <c r="C51" s="322">
        <f>IF(OR(B51=0,B51=""),0,(D51/B51)-1)</f>
        <v>0</v>
      </c>
      <c r="D51" s="862">
        <f>'Var Ertragsphase'!F86</f>
        <v>7.6398661208638838</v>
      </c>
      <c r="E51" s="659"/>
      <c r="F51" s="659"/>
      <c r="G51" s="666" t="s">
        <v>451</v>
      </c>
      <c r="H51" s="842">
        <f>'Standard Ertragsphase'!F85</f>
        <v>9.4211395633868305E-3</v>
      </c>
      <c r="I51" s="322">
        <f>IF(OR(H51=0,H51=""),0,(J51/H51)-1)</f>
        <v>0</v>
      </c>
      <c r="J51" s="870">
        <f>'Var Ertragsphase'!F85</f>
        <v>9.4211395633868305E-3</v>
      </c>
    </row>
    <row r="52" spans="1:20" x14ac:dyDescent="0.2">
      <c r="A52" s="288"/>
      <c r="B52" s="973"/>
      <c r="C52" s="658"/>
      <c r="D52" s="863"/>
      <c r="E52" s="659"/>
      <c r="F52" s="659"/>
      <c r="G52" s="981"/>
      <c r="H52" s="846"/>
      <c r="I52" s="659"/>
      <c r="J52" s="874"/>
    </row>
    <row r="53" spans="1:20" s="4" customFormat="1" ht="24.75" customHeight="1" x14ac:dyDescent="0.2">
      <c r="A53" s="662" t="s">
        <v>560</v>
      </c>
      <c r="B53" s="836">
        <f>'Standard Ertragsphase'!F88</f>
        <v>8.4887401342932023</v>
      </c>
      <c r="C53" s="322">
        <f>IF(OR(B53=0,B53=""),0,(D53/B53)-1)</f>
        <v>0</v>
      </c>
      <c r="D53" s="864">
        <f>'Var Ertragsphase'!F88</f>
        <v>8.4887401342932023</v>
      </c>
      <c r="E53" s="659"/>
      <c r="F53" s="659"/>
      <c r="G53" s="981"/>
      <c r="H53" s="846"/>
      <c r="I53" s="659"/>
      <c r="J53" s="874"/>
      <c r="K53" s="20"/>
      <c r="L53" s="20"/>
      <c r="M53" s="20"/>
      <c r="N53" s="20"/>
      <c r="O53" s="20"/>
      <c r="P53" s="20"/>
      <c r="Q53" s="20"/>
      <c r="R53" s="20"/>
      <c r="S53" s="20"/>
      <c r="T53" s="20"/>
    </row>
    <row r="54" spans="1:20" x14ac:dyDescent="0.2">
      <c r="A54" s="657" t="s">
        <v>385</v>
      </c>
      <c r="B54" s="837">
        <f>'Standard Ertragsphase'!F89</f>
        <v>0</v>
      </c>
      <c r="C54" s="658">
        <f>IF(OR(B54=0,B54=""),0,(D54/B54)-1)</f>
        <v>0</v>
      </c>
      <c r="D54" s="989">
        <f>'Var Ertragsphase'!F89</f>
        <v>0</v>
      </c>
      <c r="E54" s="659"/>
      <c r="F54" s="659"/>
      <c r="G54" s="981"/>
      <c r="H54" s="846"/>
      <c r="I54" s="659"/>
      <c r="J54" s="874"/>
    </row>
    <row r="55" spans="1:20" ht="16.5" customHeight="1" x14ac:dyDescent="0.2">
      <c r="A55" s="644"/>
      <c r="B55" s="990"/>
      <c r="C55" s="991"/>
      <c r="D55" s="865"/>
      <c r="E55" s="4"/>
      <c r="F55" s="659"/>
      <c r="G55" s="981"/>
      <c r="H55" s="846"/>
      <c r="I55" s="659"/>
      <c r="J55" s="874"/>
    </row>
    <row r="56" spans="1:20" ht="15" x14ac:dyDescent="0.2">
      <c r="A56" s="648" t="s">
        <v>383</v>
      </c>
      <c r="B56" s="834">
        <f>'Standard Erstellung'!E102</f>
        <v>90890.014449999988</v>
      </c>
      <c r="C56" s="323">
        <f>IF(OR(B56=0,B56=""),0,(D56/B56)-1)</f>
        <v>0</v>
      </c>
      <c r="D56" s="860">
        <f>'Var Erstellung'!E102</f>
        <v>90890.014449999988</v>
      </c>
      <c r="E56" s="659"/>
      <c r="F56" s="659"/>
      <c r="G56" s="981"/>
      <c r="H56" s="846"/>
      <c r="I56" s="659"/>
      <c r="J56" s="874"/>
    </row>
    <row r="57" spans="1:20" ht="53.25" x14ac:dyDescent="0.2">
      <c r="A57" s="648" t="s">
        <v>452</v>
      </c>
      <c r="B57" s="1363">
        <f>'Standard Ertragsphase'!C32</f>
        <v>240629.94829126823</v>
      </c>
      <c r="C57" s="1364">
        <f>IF(OR(B57=0,B57=""),0,(D57/B57)-1)</f>
        <v>0</v>
      </c>
      <c r="D57" s="1365">
        <f>'Var Ertragsphase'!C32</f>
        <v>240629.94829126823</v>
      </c>
      <c r="E57" s="296"/>
      <c r="F57" s="659"/>
      <c r="G57" s="981"/>
      <c r="H57" s="846"/>
      <c r="I57" s="659"/>
      <c r="J57" s="874"/>
    </row>
    <row r="58" spans="1:20" ht="42" customHeight="1" thickBot="1" x14ac:dyDescent="0.25">
      <c r="A58" s="992" t="s">
        <v>276</v>
      </c>
      <c r="B58" s="985">
        <f>'Standard Ertragsphase'!F32</f>
        <v>20052.49569093902</v>
      </c>
      <c r="C58" s="658">
        <f>IF(OR(B58=0,B58=""),0,(D58/B58)-1)</f>
        <v>0</v>
      </c>
      <c r="D58" s="986">
        <f>'Var Ertragsphase'!F32</f>
        <v>20052.49569093902</v>
      </c>
      <c r="E58" s="659"/>
      <c r="F58" s="659"/>
      <c r="G58" s="661" t="s">
        <v>453</v>
      </c>
      <c r="H58" s="843">
        <f>'Standard Ertragsphase'!F76</f>
        <v>20153.834482300201</v>
      </c>
      <c r="I58" s="668">
        <f>IF(OR(H58=0,H58=""),0,(J58/H58)-1)</f>
        <v>0</v>
      </c>
      <c r="J58" s="871">
        <f>'Var Ertragsphase'!F76</f>
        <v>20153.834482300201</v>
      </c>
    </row>
    <row r="59" spans="1:20" ht="17.45" customHeight="1" thickTop="1" thickBot="1" x14ac:dyDescent="0.25">
      <c r="A59" s="992" t="s">
        <v>277</v>
      </c>
      <c r="B59" s="993">
        <f>'Standard Ertragsphase'!F71</f>
        <v>2825.6695346214137</v>
      </c>
      <c r="C59" s="658">
        <f>IF(OR(B59=0,B59=""),0,(D59/B59)-1)</f>
        <v>0</v>
      </c>
      <c r="D59" s="994">
        <f>'Var Ertragsphase'!F71</f>
        <v>2825.6695346214137</v>
      </c>
      <c r="E59" s="659"/>
      <c r="H59" s="497"/>
      <c r="I59" s="380"/>
      <c r="J59" s="497"/>
    </row>
    <row r="60" spans="1:20" ht="17.45" customHeight="1" thickTop="1" x14ac:dyDescent="0.2">
      <c r="A60" s="300"/>
      <c r="B60" s="995"/>
      <c r="C60" s="658"/>
      <c r="D60" s="995"/>
      <c r="E60" s="659"/>
      <c r="F60" s="659"/>
      <c r="G60" s="981"/>
      <c r="H60" s="644"/>
      <c r="I60" s="644"/>
      <c r="J60" s="644"/>
    </row>
    <row r="61" spans="1:20" ht="49.7" customHeight="1" x14ac:dyDescent="0.2">
      <c r="A61" s="1369" t="s">
        <v>387</v>
      </c>
      <c r="B61" s="1369"/>
      <c r="C61" s="1369"/>
      <c r="D61" s="1369"/>
      <c r="E61" s="659"/>
      <c r="F61" s="1369" t="s">
        <v>273</v>
      </c>
      <c r="G61" s="1370"/>
      <c r="H61" s="1370"/>
      <c r="I61" s="1370"/>
      <c r="J61" s="1370"/>
    </row>
    <row r="62" spans="1:20" s="4" customFormat="1" ht="10.5" customHeight="1" x14ac:dyDescent="0.2">
      <c r="A62" s="649"/>
      <c r="B62" s="649"/>
      <c r="C62" s="649"/>
      <c r="D62" s="649"/>
      <c r="E62" s="659"/>
      <c r="F62" s="649"/>
      <c r="G62" s="650"/>
      <c r="H62" s="650"/>
      <c r="I62" s="650"/>
      <c r="J62" s="650"/>
      <c r="K62" s="20"/>
      <c r="L62" s="20"/>
      <c r="M62" s="20"/>
      <c r="N62" s="20"/>
      <c r="O62" s="20"/>
      <c r="P62" s="20"/>
      <c r="Q62" s="20"/>
      <c r="R62" s="20"/>
      <c r="S62" s="20"/>
      <c r="T62" s="20"/>
    </row>
    <row r="63" spans="1:20" ht="18" customHeight="1" thickBot="1" x14ac:dyDescent="0.25">
      <c r="A63" s="297"/>
      <c r="B63" s="642" t="s">
        <v>79</v>
      </c>
      <c r="C63" s="643" t="s">
        <v>136</v>
      </c>
      <c r="D63" s="826" t="s">
        <v>133</v>
      </c>
      <c r="E63" s="659"/>
      <c r="F63" s="659"/>
      <c r="G63" s="644"/>
      <c r="H63" s="996" t="s">
        <v>79</v>
      </c>
      <c r="I63" s="997" t="s">
        <v>136</v>
      </c>
      <c r="J63" s="998" t="s">
        <v>133</v>
      </c>
    </row>
    <row r="64" spans="1:20" ht="43.5" thickTop="1" x14ac:dyDescent="0.2">
      <c r="A64" s="663" t="s">
        <v>454</v>
      </c>
      <c r="B64" s="838">
        <f>'Standard Ertragsphase'!F81</f>
        <v>41688.016018290291</v>
      </c>
      <c r="C64" s="668">
        <f>IF(OR(B64=0,B64=""),0,(D64/B64)-1)</f>
        <v>0</v>
      </c>
      <c r="D64" s="866">
        <f>'Var Ertragsphase'!F81</f>
        <v>41688.016018290291</v>
      </c>
      <c r="E64" s="4"/>
      <c r="F64" s="659"/>
      <c r="G64" s="661" t="s">
        <v>455</v>
      </c>
      <c r="H64" s="999">
        <f>'Standard Cashflow'!C42</f>
        <v>18672.616001139206</v>
      </c>
      <c r="I64" s="667">
        <f>IF(OR(H64=0,H64=""),0,(J64/H64)-1)</f>
        <v>1.2434497875801753E-14</v>
      </c>
      <c r="J64" s="1000">
        <f>'Var Cashflow'!C42</f>
        <v>18672.616001139439</v>
      </c>
    </row>
    <row r="65" spans="1:20" s="4" customFormat="1" ht="12.75" customHeight="1" x14ac:dyDescent="0.2">
      <c r="A65" s="1001" t="s">
        <v>278</v>
      </c>
      <c r="B65" s="1002">
        <f>'Standard Ertragsphase'!F37</f>
        <v>34811.983981709724</v>
      </c>
      <c r="C65" s="658">
        <f>IF(OR(B65=0,B65=""),0,(D65/B65)-1)</f>
        <v>0</v>
      </c>
      <c r="D65" s="1003">
        <f>'Var Ertragsphase'!F37</f>
        <v>34811.983981709724</v>
      </c>
      <c r="F65" s="659"/>
      <c r="G65" s="1004"/>
      <c r="H65" s="1005"/>
      <c r="I65" s="658"/>
      <c r="J65" s="1006"/>
      <c r="K65" s="20"/>
      <c r="L65" s="20"/>
      <c r="M65" s="20"/>
      <c r="N65" s="20"/>
      <c r="O65" s="20"/>
      <c r="P65" s="20"/>
      <c r="Q65" s="20"/>
      <c r="R65" s="20"/>
      <c r="S65" s="20"/>
      <c r="T65" s="20"/>
    </row>
    <row r="66" spans="1:20" ht="29.25" customHeight="1" x14ac:dyDescent="0.2">
      <c r="A66" s="1001" t="s">
        <v>279</v>
      </c>
      <c r="B66" s="1002">
        <f>'Standard Ertragsphase'!F72</f>
        <v>41586.67722692911</v>
      </c>
      <c r="C66" s="658">
        <f>IF(OR(B66=0,B66=""),0,(D66/B66)-1)</f>
        <v>0</v>
      </c>
      <c r="D66" s="1003">
        <f>'Var Ertragsphase'!F72</f>
        <v>41586.67722692911</v>
      </c>
      <c r="E66" s="659"/>
      <c r="F66" s="659"/>
      <c r="G66" s="1004"/>
      <c r="H66" s="1005"/>
      <c r="I66" s="658"/>
      <c r="J66" s="1006"/>
    </row>
    <row r="67" spans="1:20" ht="29.25" customHeight="1" x14ac:dyDescent="0.2">
      <c r="A67" s="300"/>
      <c r="B67" s="985"/>
      <c r="C67" s="658"/>
      <c r="D67" s="986"/>
      <c r="E67" s="659"/>
      <c r="F67" s="659"/>
      <c r="G67" s="1007"/>
      <c r="H67" s="846"/>
      <c r="I67" s="659"/>
      <c r="J67" s="874"/>
    </row>
    <row r="68" spans="1:20" s="4" customFormat="1" ht="25.5" x14ac:dyDescent="0.2">
      <c r="A68" s="1008" t="s">
        <v>75</v>
      </c>
      <c r="B68" s="1002">
        <f>'Standard Ertragsphase'!F77</f>
        <v>49020.261208638833</v>
      </c>
      <c r="C68" s="658">
        <f t="shared" ref="C68:C73" si="2">IF(OR(B68=0,B68=""),0,(D68/B68)-1)</f>
        <v>0</v>
      </c>
      <c r="D68" s="1003">
        <f>'Var Ertragsphase'!F77</f>
        <v>49020.261208638833</v>
      </c>
      <c r="E68" s="659"/>
      <c r="F68" s="20"/>
      <c r="G68" s="380"/>
      <c r="H68" s="847"/>
      <c r="J68" s="875"/>
      <c r="K68" s="20"/>
      <c r="L68" s="20"/>
      <c r="M68" s="20"/>
      <c r="N68" s="20"/>
      <c r="O68" s="20"/>
      <c r="P68" s="20"/>
      <c r="Q68" s="20"/>
      <c r="R68" s="20"/>
      <c r="S68" s="20"/>
      <c r="T68" s="20"/>
    </row>
    <row r="69" spans="1:20" ht="27.75" x14ac:dyDescent="0.2">
      <c r="A69" s="660" t="s">
        <v>456</v>
      </c>
      <c r="B69" s="844">
        <f>'Standard Ertragsphase'!F78</f>
        <v>27479.738791361182</v>
      </c>
      <c r="C69" s="322">
        <f t="shared" si="2"/>
        <v>0</v>
      </c>
      <c r="D69" s="872">
        <f>'Var Ertragsphase'!F78</f>
        <v>27479.738791361182</v>
      </c>
      <c r="E69" s="659"/>
      <c r="G69" s="661" t="s">
        <v>284</v>
      </c>
      <c r="H69" s="1009">
        <f>'Standard Ertragsphase'!F79</f>
        <v>24.996730252905863</v>
      </c>
      <c r="I69" s="668">
        <f>IF(OR(H69=0,H69=""),0,(J69/H69)-1)</f>
        <v>0</v>
      </c>
      <c r="J69" s="1010">
        <f>'Var Ertragsphase'!F79</f>
        <v>24.996730252905863</v>
      </c>
    </row>
    <row r="70" spans="1:20" s="4" customFormat="1" ht="15" x14ac:dyDescent="0.2">
      <c r="A70" s="651" t="s">
        <v>200</v>
      </c>
      <c r="B70" s="845">
        <f>'Standard Ertragsphase'!D68</f>
        <v>1099.3333333333335</v>
      </c>
      <c r="C70" s="323">
        <f t="shared" si="2"/>
        <v>0</v>
      </c>
      <c r="D70" s="873">
        <f>'Var Ertragsphase'!D68</f>
        <v>1099.3333333333335</v>
      </c>
      <c r="E70" s="659"/>
      <c r="F70" s="659"/>
      <c r="G70" s="1007"/>
      <c r="H70" s="846"/>
      <c r="I70" s="659"/>
      <c r="J70" s="874"/>
      <c r="K70" s="20"/>
      <c r="L70" s="20"/>
      <c r="M70" s="20"/>
      <c r="N70" s="20"/>
      <c r="O70" s="20"/>
      <c r="P70" s="20"/>
      <c r="Q70" s="20"/>
      <c r="R70" s="20"/>
      <c r="S70" s="20"/>
      <c r="T70" s="20"/>
    </row>
    <row r="71" spans="1:20" ht="32.25" customHeight="1" x14ac:dyDescent="0.2">
      <c r="A71" s="1001" t="s">
        <v>280</v>
      </c>
      <c r="B71" s="1011">
        <f>'Standard Ertragsphase'!B68*'Standard Vorgaben'!C29</f>
        <v>16125</v>
      </c>
      <c r="C71" s="658">
        <f t="shared" si="2"/>
        <v>0</v>
      </c>
      <c r="D71" s="1012">
        <f>'Var Ertragsphase'!B68*'Var Vorgaben'!C29</f>
        <v>16125</v>
      </c>
      <c r="E71" s="659"/>
      <c r="F71" s="659"/>
      <c r="G71" s="1007"/>
      <c r="H71" s="846"/>
      <c r="I71" s="659"/>
      <c r="J71" s="874"/>
    </row>
    <row r="72" spans="1:20" s="4" customFormat="1" ht="39.75" customHeight="1" x14ac:dyDescent="0.2">
      <c r="A72" s="660" t="s">
        <v>457</v>
      </c>
      <c r="B72" s="844">
        <f>B69-B71</f>
        <v>11354.738791361182</v>
      </c>
      <c r="C72" s="322">
        <f>IF(OR(B72=0,B72=""),0,(D72/B72)-1)</f>
        <v>0</v>
      </c>
      <c r="D72" s="872">
        <f>D69-D71</f>
        <v>11354.738791361182</v>
      </c>
      <c r="E72" s="659"/>
      <c r="F72" s="659"/>
      <c r="G72" s="660" t="s">
        <v>458</v>
      </c>
      <c r="H72" s="1009">
        <f>'Standard Ertragsphase'!F80</f>
        <v>32.504023257713293</v>
      </c>
      <c r="I72" s="668">
        <f>IF(OR(H72=0,H72=""),0,(J72/H72)-1)</f>
        <v>0</v>
      </c>
      <c r="J72" s="1010">
        <f>'Var Ertragsphase'!F80</f>
        <v>32.504023257713293</v>
      </c>
      <c r="K72" s="20"/>
      <c r="L72" s="20"/>
      <c r="M72" s="20"/>
      <c r="N72" s="20"/>
      <c r="O72" s="20"/>
      <c r="P72" s="20"/>
      <c r="Q72" s="20"/>
      <c r="R72" s="20"/>
      <c r="S72" s="20"/>
      <c r="T72" s="20"/>
    </row>
    <row r="73" spans="1:20" ht="21.2" customHeight="1" x14ac:dyDescent="0.2">
      <c r="A73" s="1013" t="s">
        <v>201</v>
      </c>
      <c r="B73" s="1014">
        <f>'Standard Ertragsphase'!D68-'Standard Ertragsphase'!B68</f>
        <v>349.33333333333348</v>
      </c>
      <c r="C73" s="658">
        <f t="shared" si="2"/>
        <v>0</v>
      </c>
      <c r="D73" s="1015">
        <f>'Var Ertragsphase'!D68-'Var Ertragsphase'!B68</f>
        <v>349.33333333333348</v>
      </c>
      <c r="E73" s="659"/>
      <c r="F73" s="659"/>
      <c r="G73" s="1007"/>
      <c r="H73" s="846"/>
      <c r="I73" s="659"/>
      <c r="J73" s="874"/>
    </row>
    <row r="74" spans="1:20" ht="17.100000000000001" customHeight="1" x14ac:dyDescent="0.2">
      <c r="A74" s="670"/>
      <c r="B74" s="846"/>
      <c r="C74" s="1016"/>
      <c r="D74" s="874"/>
      <c r="E74" s="52"/>
      <c r="F74" s="671"/>
      <c r="G74" s="1017"/>
      <c r="H74" s="846"/>
      <c r="I74" s="671"/>
      <c r="J74" s="874"/>
    </row>
    <row r="75" spans="1:20" ht="27.75" x14ac:dyDescent="0.2">
      <c r="A75" s="1018" t="s">
        <v>234</v>
      </c>
      <c r="B75" s="1019">
        <f>'Standard Vorgaben'!F29</f>
        <v>0.9</v>
      </c>
      <c r="C75" s="658">
        <f>IF(OR(B75=0,B75=""),0,(D75/B75)-1)</f>
        <v>0</v>
      </c>
      <c r="D75" s="1020">
        <f>'Var Vorgaben'!F29</f>
        <v>0.9</v>
      </c>
      <c r="E75" s="52"/>
      <c r="F75" s="671"/>
      <c r="G75" s="663" t="s">
        <v>561</v>
      </c>
      <c r="H75" s="1021">
        <f>'Standard Ertragsphase'!F84</f>
        <v>8.1867798665858107</v>
      </c>
      <c r="I75" s="668">
        <f>IF(OR(H75=0,H75=""),0,(J75/H75)-1)</f>
        <v>0</v>
      </c>
      <c r="J75" s="1022">
        <f>'Var Ertragsphase'!F84</f>
        <v>8.1867798665858107</v>
      </c>
    </row>
    <row r="76" spans="1:20" ht="24.75" customHeight="1" thickBot="1" x14ac:dyDescent="0.25">
      <c r="A76" s="1023" t="s">
        <v>283</v>
      </c>
      <c r="B76" s="1024">
        <f>'Standard Ertragsphase'!B68</f>
        <v>750</v>
      </c>
      <c r="C76" s="658">
        <f>IF(OR(B76=0,B76=""),0,(D76/B76)-1)</f>
        <v>0</v>
      </c>
      <c r="D76" s="1025">
        <f>'Var Ertragsphase'!B68</f>
        <v>750</v>
      </c>
      <c r="E76" s="820"/>
      <c r="F76" s="671"/>
      <c r="G76" s="669" t="s">
        <v>286</v>
      </c>
      <c r="H76" s="1026">
        <f>'Standard Ertragsphase'!F83</f>
        <v>69.587628865979383</v>
      </c>
      <c r="I76" s="668">
        <f>IF(OR(H76=0,H76=""),0,(J76/H76)-1)</f>
        <v>0</v>
      </c>
      <c r="J76" s="1027">
        <f>'Var Ertragsphase'!F83</f>
        <v>69.587628865979383</v>
      </c>
    </row>
    <row r="77" spans="1:20" ht="15" thickTop="1" x14ac:dyDescent="0.2">
      <c r="A77" s="981"/>
      <c r="B77" s="846"/>
      <c r="C77" s="981"/>
      <c r="D77" s="874"/>
      <c r="E77" s="4"/>
      <c r="F77" s="659"/>
      <c r="G77" s="644"/>
      <c r="H77" s="644"/>
      <c r="I77" s="644"/>
      <c r="J77" s="644"/>
    </row>
    <row r="78" spans="1:20" ht="27" customHeight="1" x14ac:dyDescent="0.2">
      <c r="A78" s="1013" t="s">
        <v>282</v>
      </c>
      <c r="B78" s="1028">
        <f>B79/B70</f>
        <v>0.75803517283201938</v>
      </c>
      <c r="C78" s="658">
        <f>IF(OR(B78=0,B78=""),0,(D78/B78)-1)</f>
        <v>0</v>
      </c>
      <c r="D78" s="1029">
        <f>D79/D70</f>
        <v>0.75803517283201938</v>
      </c>
      <c r="E78" s="4"/>
      <c r="F78" s="4"/>
      <c r="G78" s="497"/>
      <c r="H78" s="497"/>
      <c r="I78" s="497"/>
      <c r="J78" s="497"/>
    </row>
    <row r="79" spans="1:20" ht="15" thickBot="1" x14ac:dyDescent="0.25">
      <c r="A79" s="1023" t="s">
        <v>281</v>
      </c>
      <c r="B79" s="1030">
        <f>'Standard Ertragsphase'!D62</f>
        <v>833.33333333333337</v>
      </c>
      <c r="C79" s="658">
        <f>IF(OR(B79=0,B79=""),0,(D79/B79)-1)</f>
        <v>0</v>
      </c>
      <c r="D79" s="1031">
        <f>'Var Ertragsphase'!D62</f>
        <v>833.33333333333337</v>
      </c>
      <c r="E79" s="4"/>
      <c r="F79" s="52"/>
      <c r="G79" s="502"/>
      <c r="H79" s="502"/>
      <c r="I79" s="502"/>
      <c r="J79" s="502"/>
    </row>
    <row r="80" spans="1:20" ht="22.5" thickTop="1" x14ac:dyDescent="0.3">
      <c r="A80" s="854" t="s">
        <v>258</v>
      </c>
      <c r="B80" s="921"/>
      <c r="C80" s="921"/>
      <c r="D80" s="921"/>
      <c r="E80" s="921"/>
      <c r="F80" s="1032"/>
      <c r="G80" s="921"/>
      <c r="H80" s="921"/>
      <c r="I80" s="921"/>
      <c r="J80" s="920"/>
    </row>
    <row r="81" spans="1:10" ht="18" x14ac:dyDescent="0.25">
      <c r="A81" s="140"/>
      <c r="B81" s="4"/>
      <c r="C81" s="4"/>
      <c r="D81" s="4"/>
      <c r="E81" s="4"/>
      <c r="F81" s="1033"/>
      <c r="G81" s="4"/>
      <c r="H81" s="4"/>
      <c r="I81" s="4"/>
      <c r="J81" s="817"/>
    </row>
    <row r="82" spans="1:10" ht="18.75" thickBot="1" x14ac:dyDescent="0.3">
      <c r="A82" s="140"/>
      <c r="B82" s="4"/>
      <c r="C82" s="4"/>
      <c r="D82" s="4"/>
      <c r="E82" s="4"/>
      <c r="F82" s="1033"/>
      <c r="G82" s="4"/>
      <c r="H82" s="642" t="s">
        <v>79</v>
      </c>
      <c r="I82" s="645" t="s">
        <v>136</v>
      </c>
      <c r="J82" s="826" t="s">
        <v>133</v>
      </c>
    </row>
    <row r="83" spans="1:10" ht="18.75" thickTop="1" x14ac:dyDescent="0.25">
      <c r="A83" s="140"/>
      <c r="B83" s="4"/>
      <c r="C83" s="4"/>
      <c r="D83" s="4"/>
      <c r="E83" s="4"/>
      <c r="F83" s="1033"/>
      <c r="G83" s="671" t="str">
        <f>'Standard Ertragsphase'!A93</f>
        <v>Arbeitskosten</v>
      </c>
      <c r="H83" s="1034">
        <f>'Standard Ertragsphase'!B93</f>
        <v>27378.400000000001</v>
      </c>
      <c r="I83" s="1035">
        <f>IF(OR(H83=0,H83=""),0,(J83/H83)-1)</f>
        <v>0</v>
      </c>
      <c r="J83" s="1036">
        <f>'Var Ertragsphase'!B93</f>
        <v>27378.400000000001</v>
      </c>
    </row>
    <row r="84" spans="1:10" ht="18" x14ac:dyDescent="0.25">
      <c r="A84" s="140"/>
      <c r="B84" s="4"/>
      <c r="C84" s="4"/>
      <c r="D84" s="4"/>
      <c r="E84" s="4"/>
      <c r="F84" s="1033"/>
      <c r="G84" s="659" t="str">
        <f>'Standard Ertragsphase'!A94</f>
        <v>Kapitalkosten</v>
      </c>
      <c r="H84" s="1037">
        <f>'Standard Ertragsphase'!B94</f>
        <v>2825.6695346214137</v>
      </c>
      <c r="I84" s="1035">
        <f>IF(OR(H84=0,H84=""),0,(J84/H84)-1)</f>
        <v>0</v>
      </c>
      <c r="J84" s="1038">
        <f>'Var Ertragsphase'!B94</f>
        <v>2825.6695346214137</v>
      </c>
    </row>
    <row r="85" spans="1:10" ht="18.75" thickBot="1" x14ac:dyDescent="0.3">
      <c r="A85" s="140"/>
      <c r="B85" s="4"/>
      <c r="C85" s="4"/>
      <c r="D85" s="4"/>
      <c r="E85" s="4"/>
      <c r="F85" s="1033"/>
      <c r="G85" s="1039" t="str">
        <f>'Standard Ertragsphase'!A95</f>
        <v>Sachkosten</v>
      </c>
      <c r="H85" s="1037">
        <f>'Standard Ertragsphase'!B95</f>
        <v>46194.591674017422</v>
      </c>
      <c r="I85" s="1040">
        <f>IF(OR(H85=0,H85=""),0,(J85/H85)-1)</f>
        <v>0</v>
      </c>
      <c r="J85" s="1038">
        <f>'Var Ertragsphase'!B95</f>
        <v>46194.591674017422</v>
      </c>
    </row>
    <row r="86" spans="1:10" ht="29.25" customHeight="1" x14ac:dyDescent="0.25">
      <c r="A86" s="140"/>
      <c r="B86" s="4"/>
      <c r="C86" s="4"/>
      <c r="D86" s="4"/>
      <c r="E86" s="4"/>
      <c r="F86" s="1033"/>
      <c r="G86" s="303" t="s">
        <v>394</v>
      </c>
      <c r="H86" s="848"/>
      <c r="I86" s="1035">
        <f>IF(OR(H86=0,H86=""),0,(J86/H86)-1)</f>
        <v>0</v>
      </c>
      <c r="J86" s="876"/>
    </row>
    <row r="87" spans="1:10" ht="18" x14ac:dyDescent="0.25">
      <c r="A87" s="140"/>
      <c r="B87" s="4"/>
      <c r="C87" s="4"/>
      <c r="D87" s="4"/>
      <c r="E87" s="4"/>
      <c r="F87" s="1033"/>
      <c r="G87" s="4"/>
      <c r="H87" s="847"/>
      <c r="I87" s="4"/>
      <c r="J87" s="875"/>
    </row>
    <row r="88" spans="1:10" ht="18" x14ac:dyDescent="0.25">
      <c r="A88" s="140"/>
      <c r="B88" s="4"/>
      <c r="C88" s="4"/>
      <c r="D88" s="4"/>
      <c r="F88" s="1033"/>
      <c r="G88" s="659" t="str">
        <f>G83</f>
        <v>Arbeitskosten</v>
      </c>
      <c r="H88" s="964">
        <f>'Standard Ertragsphase'!C93</f>
        <v>0.35836230068523989</v>
      </c>
      <c r="I88" s="304"/>
      <c r="J88" s="1041">
        <f>'Var Ertragsphase'!C93</f>
        <v>0.35836230068523989</v>
      </c>
    </row>
    <row r="89" spans="1:10" ht="18" x14ac:dyDescent="0.25">
      <c r="A89" s="140"/>
      <c r="B89" s="4"/>
      <c r="C89" s="4"/>
      <c r="D89" s="4"/>
      <c r="F89" s="1033"/>
      <c r="G89" s="659" t="str">
        <f>G84</f>
        <v>Kapitalkosten</v>
      </c>
      <c r="H89" s="964">
        <f>'Standard Ertragsphase'!C94</f>
        <v>3.698585145235371E-2</v>
      </c>
      <c r="I89" s="304"/>
      <c r="J89" s="1041">
        <f>'Var Ertragsphase'!C94</f>
        <v>3.698585145235371E-2</v>
      </c>
    </row>
    <row r="90" spans="1:10" ht="18.75" thickBot="1" x14ac:dyDescent="0.3">
      <c r="A90" s="140"/>
      <c r="B90" s="4"/>
      <c r="C90" s="4"/>
      <c r="D90" s="4"/>
      <c r="F90" s="1033"/>
      <c r="G90" s="659" t="str">
        <f>G85</f>
        <v>Sachkosten</v>
      </c>
      <c r="H90" s="1042">
        <f>'Standard Ertragsphase'!C95</f>
        <v>0.60465184786240644</v>
      </c>
      <c r="I90" s="304"/>
      <c r="J90" s="1043">
        <f>'Var Ertragsphase'!C95</f>
        <v>0.60465184786240644</v>
      </c>
    </row>
    <row r="91" spans="1:10" ht="21.75" customHeight="1" thickTop="1" x14ac:dyDescent="0.25">
      <c r="A91" s="140"/>
      <c r="B91" s="4"/>
      <c r="C91" s="4"/>
      <c r="D91" s="4"/>
      <c r="F91" s="1033"/>
      <c r="G91" s="4"/>
      <c r="H91" s="4"/>
      <c r="I91" s="4"/>
      <c r="J91" s="817"/>
    </row>
    <row r="92" spans="1:10" ht="21.2" customHeight="1" x14ac:dyDescent="0.3">
      <c r="A92" s="854" t="s">
        <v>384</v>
      </c>
      <c r="B92" s="920"/>
      <c r="C92" s="920"/>
      <c r="D92" s="858"/>
      <c r="E92" s="921"/>
      <c r="F92" s="921"/>
      <c r="G92" s="921"/>
      <c r="H92" s="921"/>
      <c r="I92" s="921"/>
      <c r="J92" s="921"/>
    </row>
    <row r="95" spans="1:10" ht="15.75" thickBot="1" x14ac:dyDescent="0.3">
      <c r="G95" s="4"/>
      <c r="H95" s="642" t="s">
        <v>79</v>
      </c>
      <c r="I95" s="645" t="s">
        <v>136</v>
      </c>
      <c r="J95" s="826" t="s">
        <v>133</v>
      </c>
    </row>
    <row r="96" spans="1:10" ht="13.5" thickTop="1" x14ac:dyDescent="0.2">
      <c r="G96" s="659" t="str">
        <f>'Standard Ertragsphase'!A100</f>
        <v>für Boden</v>
      </c>
      <c r="H96" s="1034">
        <f>'Standard Ertragsphase'!B100</f>
        <v>660</v>
      </c>
      <c r="I96" s="1035">
        <f>IF(OR(H96=0,H96=""),0,(J96/H96)-1)</f>
        <v>0</v>
      </c>
      <c r="J96" s="1036">
        <f>'Var Ertragsphase'!B100</f>
        <v>660</v>
      </c>
    </row>
    <row r="97" spans="7:10" ht="13.5" thickBot="1" x14ac:dyDescent="0.25">
      <c r="G97" s="1039" t="str">
        <f>'Standard Ertragsphase'!A101</f>
        <v xml:space="preserve">für Investition Kirschenanlage </v>
      </c>
      <c r="H97" s="1037">
        <f>'Standard Ertragsphase'!B101</f>
        <v>2165.6695346214137</v>
      </c>
      <c r="I97" s="1040">
        <f>IF(OR(H97=0,H97=""),0,(J97/H97)-1)</f>
        <v>0</v>
      </c>
      <c r="J97" s="1038">
        <f>'Var Ertragsphase'!B101</f>
        <v>2165.6695346214137</v>
      </c>
    </row>
    <row r="98" spans="7:10" ht="15.75" x14ac:dyDescent="0.2">
      <c r="G98" s="305" t="str">
        <f>'Standard Ertragsphase'!A102</f>
        <v>Kapitalkosten</v>
      </c>
      <c r="H98" s="848">
        <f>SUM(H96:H97)</f>
        <v>2825.6695346214137</v>
      </c>
      <c r="I98" s="1035">
        <f>IF(OR(H98=0,H98=""),0,(J98/H98)-1)</f>
        <v>0</v>
      </c>
      <c r="J98" s="876">
        <f>SUM(J96:J97)</f>
        <v>2825.6695346214137</v>
      </c>
    </row>
    <row r="99" spans="7:10" x14ac:dyDescent="0.2">
      <c r="H99" s="1044"/>
      <c r="I99" s="304"/>
      <c r="J99" s="1045"/>
    </row>
    <row r="100" spans="7:10" x14ac:dyDescent="0.2">
      <c r="G100" s="981" t="str">
        <f>G96</f>
        <v>für Boden</v>
      </c>
      <c r="H100" s="1046">
        <f>'Standard Ertragsphase'!C100</f>
        <v>0.23357296099680938</v>
      </c>
      <c r="I100" s="304"/>
      <c r="J100" s="1047">
        <f>'Var Ertragsphase'!C100</f>
        <v>0.23357296099680938</v>
      </c>
    </row>
    <row r="101" spans="7:10" ht="13.5" thickBot="1" x14ac:dyDescent="0.25">
      <c r="G101" s="981" t="str">
        <f>G97</f>
        <v xml:space="preserve">für Investition Kirschenanlage </v>
      </c>
      <c r="H101" s="1048">
        <f>'Standard Ertragsphase'!C101</f>
        <v>0.76642703900319065</v>
      </c>
      <c r="I101" s="304"/>
      <c r="J101" s="1049">
        <f>'Var Ertragsphase'!C101</f>
        <v>0.76642703900319065</v>
      </c>
    </row>
    <row r="102" spans="7:10" ht="13.5" thickTop="1" x14ac:dyDescent="0.2"/>
    <row r="109" spans="7:10" ht="15.75" thickBot="1" x14ac:dyDescent="0.3">
      <c r="G109" s="4"/>
      <c r="H109" s="642" t="s">
        <v>79</v>
      </c>
      <c r="I109" s="645" t="s">
        <v>136</v>
      </c>
      <c r="J109" s="826" t="s">
        <v>133</v>
      </c>
    </row>
    <row r="110" spans="7:10" ht="13.5" thickTop="1" x14ac:dyDescent="0.2">
      <c r="G110" s="659" t="str">
        <f>'Standard Ertragsphase'!A120</f>
        <v>Ernte (inkl. Sortieren ohne kalibrieren)</v>
      </c>
      <c r="H110" s="1034">
        <f>'Standard Ertragsphase'!B120</f>
        <v>18850</v>
      </c>
      <c r="I110" s="1035">
        <f>IF(OR(H110=0,H110=""),0,(J110/H110)-1)</f>
        <v>0</v>
      </c>
      <c r="J110" s="1036">
        <f>'Var Ertragsphase'!B120</f>
        <v>18850</v>
      </c>
    </row>
    <row r="111" spans="7:10" x14ac:dyDescent="0.2">
      <c r="G111" s="659" t="str">
        <f>'Standard Ertragsphase'!A121</f>
        <v>Baumerziehung (Sommer + Winter)</v>
      </c>
      <c r="H111" s="1037">
        <f>'Standard Ertragsphase'!B121</f>
        <v>3270.0000000000005</v>
      </c>
      <c r="I111" s="1035">
        <f>IF(OR(H111=0,H111=""),0,(J111/H111)-1)</f>
        <v>0</v>
      </c>
      <c r="J111" s="1038">
        <f>'Var Ertragsphase'!B121</f>
        <v>3270.0000000000005</v>
      </c>
    </row>
    <row r="112" spans="7:10" ht="13.5" thickBot="1" x14ac:dyDescent="0.25">
      <c r="G112" s="1039" t="str">
        <f>'Standard Ertragsphase'!A122</f>
        <v>übrige Arbeiten (aus Posten &lt; 10%)</v>
      </c>
      <c r="H112" s="1037">
        <f>'Standard Ertragsphase'!B122</f>
        <v>5258.4</v>
      </c>
      <c r="I112" s="1040">
        <f>IF(OR(H112=0,H112=""),0,(J112/H112)-1)</f>
        <v>0</v>
      </c>
      <c r="J112" s="1038">
        <f>'Var Ertragsphase'!B122</f>
        <v>5258.4</v>
      </c>
    </row>
    <row r="113" spans="7:10" ht="15.75" x14ac:dyDescent="0.2">
      <c r="G113" s="652" t="str">
        <f>'Standard Ertragsphase'!A123</f>
        <v>Arbeitskosten</v>
      </c>
      <c r="H113" s="848">
        <f>SUM(H110:H112)</f>
        <v>27378.400000000001</v>
      </c>
      <c r="I113" s="1035">
        <f>IF(OR(H113=0,H113=""),0,(J113/H113)-1)</f>
        <v>0</v>
      </c>
      <c r="J113" s="876">
        <f>SUM(J110:J112)</f>
        <v>27378.400000000001</v>
      </c>
    </row>
    <row r="114" spans="7:10" ht="15.75" x14ac:dyDescent="0.25">
      <c r="G114" s="306"/>
      <c r="H114" s="848"/>
      <c r="I114" s="1035"/>
      <c r="J114" s="876"/>
    </row>
    <row r="115" spans="7:10" x14ac:dyDescent="0.2">
      <c r="G115" s="981" t="str">
        <f>G110</f>
        <v>Ernte (inkl. Sortieren ohne kalibrieren)</v>
      </c>
      <c r="H115" s="1046">
        <f>'Standard Ertragsphase'!C120</f>
        <v>0.68849896268591293</v>
      </c>
      <c r="I115" s="304"/>
      <c r="J115" s="1047">
        <f>'Var Ertragsphase'!C120</f>
        <v>0.68849896268591293</v>
      </c>
    </row>
    <row r="116" spans="7:10" x14ac:dyDescent="0.2">
      <c r="G116" s="981" t="str">
        <f>G111</f>
        <v>Baumerziehung (Sommer + Winter)</v>
      </c>
      <c r="H116" s="1046">
        <f>'Standard Ertragsphase'!C121</f>
        <v>0.11943722058264911</v>
      </c>
      <c r="I116" s="304"/>
      <c r="J116" s="1047">
        <f>'Var Ertragsphase'!C121</f>
        <v>0.11943722058264911</v>
      </c>
    </row>
    <row r="117" spans="7:10" ht="13.5" thickBot="1" x14ac:dyDescent="0.25">
      <c r="G117" s="981" t="str">
        <f>G112</f>
        <v>übrige Arbeiten (aus Posten &lt; 10%)</v>
      </c>
      <c r="H117" s="1048">
        <f>'Standard Ertragsphase'!C122</f>
        <v>0.19206381673143791</v>
      </c>
      <c r="I117" s="304"/>
      <c r="J117" s="1049">
        <f>'Var Ertragsphase'!C122</f>
        <v>0.19206381673143791</v>
      </c>
    </row>
    <row r="118" spans="7:10" ht="13.5" thickTop="1" x14ac:dyDescent="0.2"/>
    <row r="123" spans="7:10" ht="15.75" thickBot="1" x14ac:dyDescent="0.3">
      <c r="G123" s="4"/>
      <c r="H123" s="642" t="s">
        <v>79</v>
      </c>
      <c r="I123" s="645" t="s">
        <v>136</v>
      </c>
      <c r="J123" s="826" t="s">
        <v>133</v>
      </c>
    </row>
    <row r="124" spans="7:10" ht="13.5" thickTop="1" x14ac:dyDescent="0.2">
      <c r="G124" s="659"/>
      <c r="H124" s="1034"/>
      <c r="I124" s="1035"/>
      <c r="J124" s="1036"/>
    </row>
    <row r="125" spans="7:10" x14ac:dyDescent="0.2">
      <c r="G125" s="1050" t="str">
        <f>'Standard Ertragsphase'!A127</f>
        <v>Abschreibung Kirschenanlage (inkl. Regendach mit 1x Folie, Einnetzung 1x, optionalem Hagelnetz und Bewässerungsanlage)</v>
      </c>
      <c r="H125" s="1037">
        <f>'Standard Ertragsphase'!B127</f>
        <v>20052.49569093902</v>
      </c>
      <c r="I125" s="1035">
        <f>IF(OR(H125=0,H125=""),0,(J125/H125)-1)</f>
        <v>0</v>
      </c>
      <c r="J125" s="1038">
        <f>'Var Ertragsphase'!B127</f>
        <v>20052.49569093902</v>
      </c>
    </row>
    <row r="126" spans="7:10" x14ac:dyDescent="0.2">
      <c r="G126" s="659" t="str">
        <f>'Standard Ertragsphase'!A128</f>
        <v>Maschinen und Geräte</v>
      </c>
      <c r="H126" s="1037">
        <f>'Standard Ertragsphase'!B128</f>
        <v>10932.607692307693</v>
      </c>
      <c r="I126" s="1035">
        <f>IF(OR(H126=0,H126=""),0,(J126/H126)-1)</f>
        <v>0</v>
      </c>
      <c r="J126" s="1038">
        <f>'Var Ertragsphase'!B128</f>
        <v>10932.607692307693</v>
      </c>
    </row>
    <row r="127" spans="7:10" ht="13.5" thickBot="1" x14ac:dyDescent="0.25">
      <c r="G127" s="1039" t="str">
        <f>'Standard Ertragsphase'!A129</f>
        <v>übrige Kosten (aus Posten mit &lt; 10%)</v>
      </c>
      <c r="H127" s="1037">
        <f>'Standard Ertragsphase'!B129</f>
        <v>15209.488290770709</v>
      </c>
      <c r="I127" s="1040">
        <f>IF(OR(H127=0,H127=""),0,(J127/H127)-1)</f>
        <v>0</v>
      </c>
      <c r="J127" s="1038">
        <f>'Var Ertragsphase'!B129</f>
        <v>15209.488290770709</v>
      </c>
    </row>
    <row r="128" spans="7:10" ht="15.75" x14ac:dyDescent="0.2">
      <c r="G128" s="640" t="str">
        <f>'Standard Ertragsphase'!A130</f>
        <v>Sachkosten</v>
      </c>
      <c r="H128" s="848">
        <f>SUM(H125:H127)</f>
        <v>46194.591674017422</v>
      </c>
      <c r="I128" s="1035">
        <f>IF(OR(H128=0,H128=""),0,(J128/H128)-1)</f>
        <v>0</v>
      </c>
      <c r="J128" s="876">
        <f>SUM(J125:J127)</f>
        <v>46194.591674017422</v>
      </c>
    </row>
    <row r="129" spans="7:10" x14ac:dyDescent="0.2">
      <c r="H129" s="1044"/>
      <c r="J129" s="1045"/>
    </row>
    <row r="130" spans="7:10" x14ac:dyDescent="0.2">
      <c r="G130" s="981"/>
      <c r="H130" s="1046"/>
      <c r="I130" s="304"/>
      <c r="J130" s="1047"/>
    </row>
    <row r="131" spans="7:10" x14ac:dyDescent="0.2">
      <c r="G131" s="981" t="str">
        <f>G125</f>
        <v>Abschreibung Kirschenanlage (inkl. Regendach mit 1x Folie, Einnetzung 1x, optionalem Hagelnetz und Bewässerungsanlage)</v>
      </c>
      <c r="H131" s="1046">
        <f>'Standard Ertragsphase'!C127</f>
        <v>0.43408751899884707</v>
      </c>
      <c r="I131" s="304"/>
      <c r="J131" s="1047">
        <f>'Var Ertragsphase'!C127</f>
        <v>0.43408751899884707</v>
      </c>
    </row>
    <row r="132" spans="7:10" x14ac:dyDescent="0.2">
      <c r="G132" s="981" t="str">
        <f>G126</f>
        <v>Maschinen und Geräte</v>
      </c>
      <c r="H132" s="1046">
        <f>'Standard Ertragsphase'!C128</f>
        <v>0.23666423484065213</v>
      </c>
      <c r="I132" s="304"/>
      <c r="J132" s="1047">
        <f>'Var Ertragsphase'!C128</f>
        <v>0.23666423484065213</v>
      </c>
    </row>
    <row r="133" spans="7:10" ht="13.5" thickBot="1" x14ac:dyDescent="0.25">
      <c r="G133" s="981" t="str">
        <f>G127</f>
        <v>übrige Kosten (aus Posten mit &lt; 10%)</v>
      </c>
      <c r="H133" s="1048">
        <f>'Standard Ertragsphase'!C129</f>
        <v>0.3292482461605008</v>
      </c>
      <c r="I133" s="304"/>
      <c r="J133" s="1049">
        <f>'Var Ertragsphase'!C129</f>
        <v>0.3292482461605008</v>
      </c>
    </row>
    <row r="134" spans="7:10" ht="13.5" thickTop="1" x14ac:dyDescent="0.2"/>
    <row r="145" spans="1:10" ht="21.75" x14ac:dyDescent="0.3">
      <c r="A145" s="854" t="s">
        <v>267</v>
      </c>
      <c r="B145" s="920"/>
      <c r="C145" s="920"/>
      <c r="D145" s="858"/>
      <c r="E145" s="921"/>
      <c r="F145" s="921"/>
      <c r="G145" s="921"/>
      <c r="H145" s="921"/>
      <c r="I145" s="921"/>
      <c r="J145" s="921"/>
    </row>
    <row r="151" spans="1:10" ht="15.75" thickBot="1" x14ac:dyDescent="0.3">
      <c r="H151" s="642" t="s">
        <v>79</v>
      </c>
      <c r="I151" s="645" t="s">
        <v>136</v>
      </c>
      <c r="J151" s="826" t="s">
        <v>133</v>
      </c>
    </row>
    <row r="152" spans="1:10" ht="13.5" thickTop="1" x14ac:dyDescent="0.2">
      <c r="G152" s="20" t="str">
        <f>'Standard Ertragsphase'!A134</f>
        <v>Total Direktkosten</v>
      </c>
      <c r="H152" s="1034">
        <f>'Standard Ertragsphase'!B134</f>
        <v>34811.983981709724</v>
      </c>
      <c r="I152" s="1035">
        <f>IF(OR(H152=0,H152=""),0,(J152/H152)-1)</f>
        <v>0</v>
      </c>
      <c r="J152" s="1036">
        <f>'Var Ertragsphase'!B134</f>
        <v>34811.983981709724</v>
      </c>
    </row>
    <row r="153" spans="1:10" ht="13.5" thickBot="1" x14ac:dyDescent="0.25">
      <c r="G153" s="1051" t="str">
        <f>'Standard Ertragsphase'!A135</f>
        <v>Total Strukturkosten</v>
      </c>
      <c r="H153" s="1037">
        <f>'Standard Ertragsphase'!B135</f>
        <v>41586.67722692911</v>
      </c>
      <c r="I153" s="1040">
        <f>IF(OR(H153=0,H153=""),0,(J153/H153)-1)</f>
        <v>0</v>
      </c>
      <c r="J153" s="1038">
        <f>'Var Ertragsphase'!B135</f>
        <v>41586.67722692911</v>
      </c>
    </row>
    <row r="154" spans="1:10" ht="15.75" x14ac:dyDescent="0.25">
      <c r="G154" s="366" t="str">
        <f>'Standard Ertragsphase'!A136</f>
        <v>Produktionskosten pro ha</v>
      </c>
      <c r="H154" s="848">
        <f>SUM(H152:H153)</f>
        <v>76398.661208638834</v>
      </c>
      <c r="I154" s="1035">
        <f>IF(OR(H154=0,H154=""),0,(J154/H154)-1)</f>
        <v>0</v>
      </c>
      <c r="J154" s="876">
        <f>SUM(J152:J153)</f>
        <v>76398.661208638834</v>
      </c>
    </row>
    <row r="155" spans="1:10" x14ac:dyDescent="0.2">
      <c r="H155" s="1044"/>
      <c r="I155" s="4"/>
      <c r="J155" s="1045"/>
    </row>
    <row r="156" spans="1:10" x14ac:dyDescent="0.2">
      <c r="G156" s="820" t="str">
        <f>G152</f>
        <v>Total Direktkosten</v>
      </c>
      <c r="H156" s="1046">
        <f>'Standard Ertragsphase'!C134</f>
        <v>0.45566222537121281</v>
      </c>
      <c r="J156" s="1047">
        <f>'Var Ertragsphase'!C134</f>
        <v>0.45566222537121281</v>
      </c>
    </row>
    <row r="157" spans="1:10" ht="13.5" thickBot="1" x14ac:dyDescent="0.25">
      <c r="G157" s="820" t="str">
        <f>G153</f>
        <v>Total Strukturkosten</v>
      </c>
      <c r="H157" s="1048">
        <f>'Standard Ertragsphase'!C135</f>
        <v>0.54433777462878719</v>
      </c>
      <c r="J157" s="1049">
        <f>'Var Ertragsphase'!C135</f>
        <v>0.54433777462878719</v>
      </c>
    </row>
    <row r="158" spans="1:10" ht="13.5" thickTop="1" x14ac:dyDescent="0.2"/>
    <row r="169" spans="1:10" ht="21.75" x14ac:dyDescent="0.3">
      <c r="A169" s="854" t="s">
        <v>288</v>
      </c>
      <c r="B169" s="920"/>
      <c r="C169" s="920"/>
      <c r="D169" s="858"/>
      <c r="E169" s="921"/>
      <c r="F169" s="921"/>
      <c r="G169" s="921"/>
      <c r="H169" s="921"/>
      <c r="I169" s="921"/>
      <c r="J169" s="921"/>
    </row>
    <row r="173" spans="1:10" ht="15.75" thickBot="1" x14ac:dyDescent="0.3">
      <c r="H173" s="642" t="s">
        <v>79</v>
      </c>
      <c r="I173" s="645" t="s">
        <v>136</v>
      </c>
      <c r="J173" s="826" t="s">
        <v>133</v>
      </c>
    </row>
    <row r="174" spans="1:10" ht="15.75" customHeight="1" thickTop="1" x14ac:dyDescent="0.2">
      <c r="G174" s="1052" t="str">
        <f>'Standard Ertragsphase'!A154</f>
        <v>Total Pflanzenschutz</v>
      </c>
      <c r="H174" s="1053">
        <f>'Standard Ertragsphase'!B161</f>
        <v>4346.7999999999993</v>
      </c>
      <c r="I174" s="1054">
        <f>IF(OR(H174=0,H174=""),0,(J174/H174)-1)</f>
        <v>0</v>
      </c>
      <c r="J174" s="1055">
        <f>'Var Ertragsphase'!B161</f>
        <v>4346.7999999999993</v>
      </c>
    </row>
    <row r="175" spans="1:10" ht="15.75" customHeight="1" thickBot="1" x14ac:dyDescent="0.25">
      <c r="G175" s="1056" t="str">
        <f>'Standard Ertragsphase'!A155</f>
        <v>übrige Produktionskosten</v>
      </c>
      <c r="H175" s="1057">
        <f>'Standard Ertragsphase'!B155</f>
        <v>72051.861208638831</v>
      </c>
      <c r="I175" s="1058">
        <f>IF(OR(H175=0,H175=""),0,(J175/H175)-1)</f>
        <v>0</v>
      </c>
      <c r="J175" s="1059">
        <f>'Var Ertragsphase'!B155</f>
        <v>72051.861208638831</v>
      </c>
    </row>
    <row r="176" spans="1:10" ht="15.75" customHeight="1" x14ac:dyDescent="0.2">
      <c r="G176" s="303" t="s">
        <v>388</v>
      </c>
      <c r="H176" s="849">
        <f>SUM(H174:H175)</f>
        <v>76398.661208638834</v>
      </c>
      <c r="I176" s="1054">
        <f>IF(OR(H176=0,H176=""),0,(J176/H176)-1)</f>
        <v>0</v>
      </c>
      <c r="J176" s="877">
        <f>SUM(J174:J175)</f>
        <v>76398.661208638834</v>
      </c>
    </row>
    <row r="177" spans="7:10" x14ac:dyDescent="0.2">
      <c r="G177" s="981"/>
      <c r="H177" s="1060"/>
      <c r="I177" s="981"/>
      <c r="J177" s="1061"/>
    </row>
    <row r="178" spans="7:10" x14ac:dyDescent="0.2">
      <c r="G178" s="1052" t="str">
        <f>G174</f>
        <v>Total Pflanzenschutz</v>
      </c>
      <c r="H178" s="1062">
        <f>'Standard Ertragsphase'!C154</f>
        <v>5.6896284977157187E-2</v>
      </c>
      <c r="I178" s="307"/>
      <c r="J178" s="1063">
        <f>'Var Ertragsphase'!C154</f>
        <v>5.6896284977157187E-2</v>
      </c>
    </row>
    <row r="179" spans="7:10" ht="13.5" thickBot="1" x14ac:dyDescent="0.25">
      <c r="G179" s="1052" t="str">
        <f>G175</f>
        <v>übrige Produktionskosten</v>
      </c>
      <c r="H179" s="1064">
        <f>'Standard Ertragsphase'!C155</f>
        <v>0.94310371502284274</v>
      </c>
      <c r="I179" s="307"/>
      <c r="J179" s="1065">
        <f>'Var Ertragsphase'!C155</f>
        <v>0.94310371502284274</v>
      </c>
    </row>
    <row r="180" spans="7:10" ht="13.5" thickTop="1" x14ac:dyDescent="0.2">
      <c r="G180" s="981"/>
      <c r="H180" s="981"/>
      <c r="I180" s="981"/>
      <c r="J180" s="981"/>
    </row>
    <row r="193" spans="1:14" ht="15.75" thickBot="1" x14ac:dyDescent="0.3">
      <c r="H193" s="642" t="s">
        <v>79</v>
      </c>
      <c r="I193" s="645" t="s">
        <v>136</v>
      </c>
      <c r="J193" s="826" t="s">
        <v>133</v>
      </c>
    </row>
    <row r="194" spans="1:14" ht="13.5" thickTop="1" x14ac:dyDescent="0.2">
      <c r="G194" s="820" t="str">
        <f>'Standard Ertragsphase'!A158</f>
        <v>Material</v>
      </c>
      <c r="H194" s="1066">
        <f>'Standard Ertragsphase'!B158</f>
        <v>1860.2999999999997</v>
      </c>
      <c r="I194" s="1054">
        <f>IF(OR(H194=0,H194=""),0,(J194/H194)-1)</f>
        <v>0</v>
      </c>
      <c r="J194" s="1075">
        <f>'Var Ertragsphase'!B158</f>
        <v>1860.2999999999997</v>
      </c>
    </row>
    <row r="195" spans="1:14" x14ac:dyDescent="0.2">
      <c r="B195" s="1067"/>
      <c r="E195" s="981"/>
      <c r="G195" s="820" t="str">
        <f>'Standard Ertragsphase'!A159</f>
        <v>Maschinen</v>
      </c>
      <c r="H195" s="1068">
        <f>'Standard Ertragsphase'!B159</f>
        <v>1342</v>
      </c>
      <c r="I195" s="1054">
        <f>IF(OR(H195=0,H195=""),0,(J195/H195)-1)</f>
        <v>0</v>
      </c>
      <c r="J195" s="1076">
        <f>'Var Ertragsphase'!B159</f>
        <v>1342</v>
      </c>
    </row>
    <row r="196" spans="1:14" ht="13.5" thickBot="1" x14ac:dyDescent="0.25">
      <c r="B196" s="1067"/>
      <c r="G196" s="1051" t="str">
        <f>'Standard Ertragsphase'!A160</f>
        <v>Arbeit</v>
      </c>
      <c r="H196" s="1068">
        <f>'Standard Ertragsphase'!B160</f>
        <v>1144.5</v>
      </c>
      <c r="I196" s="1058">
        <f>IF(OR(H196=0,H196=""),0,(J196/H196)-1)</f>
        <v>0</v>
      </c>
      <c r="J196" s="1076">
        <f>'Var Ertragsphase'!B160</f>
        <v>1144.5</v>
      </c>
    </row>
    <row r="197" spans="1:14" ht="31.5" x14ac:dyDescent="0.2">
      <c r="B197" s="1067"/>
      <c r="G197" s="673" t="str">
        <f>'Standard Ertragsphase'!A161</f>
        <v>Pflanzenschutz (Material, Maschinen, Arbeit)</v>
      </c>
      <c r="H197" s="850">
        <f>SUM(H194:H196)</f>
        <v>4346.7999999999993</v>
      </c>
      <c r="I197" s="1054">
        <f>IF(OR(H197=0,H197=""),0,(J197/H197)-1)</f>
        <v>0</v>
      </c>
      <c r="J197" s="878">
        <f>SUM(J194:J196)</f>
        <v>4346.7999999999993</v>
      </c>
    </row>
    <row r="198" spans="1:14" x14ac:dyDescent="0.2">
      <c r="B198" s="1067"/>
      <c r="H198" s="1044"/>
      <c r="J198" s="1045"/>
    </row>
    <row r="199" spans="1:14" x14ac:dyDescent="0.2">
      <c r="A199" s="981"/>
      <c r="B199" s="1069"/>
      <c r="C199" s="1070"/>
      <c r="D199" s="288"/>
      <c r="F199" s="981"/>
      <c r="G199" s="1052" t="str">
        <f>G194</f>
        <v>Material</v>
      </c>
      <c r="H199" s="1062">
        <f>'Standard Ertragsphase'!C158</f>
        <v>0.4279700009202172</v>
      </c>
      <c r="I199" s="307"/>
      <c r="J199" s="1047">
        <f>'Var Ertragsphase'!C158</f>
        <v>0.4279700009202172</v>
      </c>
    </row>
    <row r="200" spans="1:14" x14ac:dyDescent="0.2">
      <c r="B200" s="1067"/>
      <c r="G200" s="1052" t="str">
        <f>G195</f>
        <v>Maschinen</v>
      </c>
      <c r="H200" s="1062">
        <f>'Standard Ertragsphase'!C159</f>
        <v>0.30873286095518548</v>
      </c>
      <c r="I200" s="307"/>
      <c r="J200" s="1047">
        <f>'Var Ertragsphase'!C159</f>
        <v>0.30873286095518548</v>
      </c>
    </row>
    <row r="201" spans="1:14" x14ac:dyDescent="0.2">
      <c r="B201" s="1067"/>
      <c r="G201" s="1052" t="str">
        <f>G196</f>
        <v>Arbeit</v>
      </c>
      <c r="H201" s="1062">
        <f>'Standard Ertragsphase'!C160</f>
        <v>0.26329713812459743</v>
      </c>
      <c r="I201" s="307"/>
      <c r="J201" s="1047">
        <f>'Var Ertragsphase'!C160</f>
        <v>0.26329713812459743</v>
      </c>
    </row>
    <row r="202" spans="1:14" x14ac:dyDescent="0.2">
      <c r="B202" s="1067"/>
      <c r="H202" s="1044"/>
      <c r="J202" s="1045"/>
    </row>
    <row r="203" spans="1:14" x14ac:dyDescent="0.2">
      <c r="B203" s="1067"/>
      <c r="G203" s="1084" t="s">
        <v>289</v>
      </c>
      <c r="H203" s="1085"/>
      <c r="I203" s="1086"/>
      <c r="J203" s="1087"/>
      <c r="N203" s="1045"/>
    </row>
    <row r="204" spans="1:14" x14ac:dyDescent="0.2">
      <c r="B204" s="1067"/>
      <c r="G204" s="1071" t="s">
        <v>445</v>
      </c>
      <c r="H204" s="1072">
        <f>'Standard Ertragsphase'!C40</f>
        <v>5</v>
      </c>
      <c r="I204" s="820"/>
      <c r="J204" s="1082">
        <f>'Var Ertragsphase'!C40</f>
        <v>5</v>
      </c>
    </row>
    <row r="205" spans="1:14" x14ac:dyDescent="0.2">
      <c r="B205" s="1067"/>
      <c r="G205" s="1071" t="s">
        <v>564</v>
      </c>
      <c r="H205" s="1072">
        <f>'Standard Ertragsphase'!C43</f>
        <v>3</v>
      </c>
      <c r="I205" s="820"/>
      <c r="J205" s="1082">
        <f>'Var Ertragsphase'!C43</f>
        <v>3</v>
      </c>
    </row>
    <row r="206" spans="1:14" x14ac:dyDescent="0.2">
      <c r="B206" s="1067"/>
      <c r="G206" s="1071" t="s">
        <v>565</v>
      </c>
      <c r="H206" s="1072">
        <f>'Standard Ertragsphase'!C44</f>
        <v>4</v>
      </c>
      <c r="I206" s="820"/>
      <c r="J206" s="1082">
        <f>'Var Ertragsphase'!C44</f>
        <v>4</v>
      </c>
    </row>
    <row r="207" spans="1:14" x14ac:dyDescent="0.2">
      <c r="B207" s="1067"/>
      <c r="G207" s="1073"/>
      <c r="H207" s="1044"/>
      <c r="I207" s="820"/>
      <c r="J207" s="1045"/>
    </row>
    <row r="208" spans="1:14" x14ac:dyDescent="0.2">
      <c r="B208" s="1067"/>
      <c r="G208" s="672" t="s">
        <v>290</v>
      </c>
      <c r="H208" s="1044"/>
      <c r="I208" s="820"/>
      <c r="J208" s="1045"/>
    </row>
    <row r="209" spans="1:12" x14ac:dyDescent="0.2">
      <c r="B209" s="1067"/>
      <c r="G209" s="1071" t="s">
        <v>291</v>
      </c>
      <c r="H209" s="1074">
        <f>'Standard Vorgaben'!C140</f>
        <v>1</v>
      </c>
      <c r="I209" s="820"/>
      <c r="J209" s="1083">
        <f>'Var Vorgaben'!C140</f>
        <v>1</v>
      </c>
    </row>
    <row r="210" spans="1:12" x14ac:dyDescent="0.2">
      <c r="B210" s="1067"/>
      <c r="G210" s="1071" t="s">
        <v>292</v>
      </c>
      <c r="H210" s="966">
        <f>'Standard Vorgaben'!C141+'Standard Vorgaben'!C142</f>
        <v>4</v>
      </c>
      <c r="I210" s="150"/>
      <c r="J210" s="1083">
        <f>'Var Vorgaben'!C141+'Var Vorgaben'!C142</f>
        <v>4</v>
      </c>
    </row>
    <row r="211" spans="1:12" x14ac:dyDescent="0.2">
      <c r="B211" s="1067"/>
      <c r="G211" s="1073"/>
      <c r="H211" s="851">
        <f>SUM(H209:H210)</f>
        <v>5</v>
      </c>
      <c r="I211" s="820"/>
      <c r="J211" s="1083">
        <f>SUM(J209:J210)</f>
        <v>5</v>
      </c>
    </row>
    <row r="212" spans="1:12" ht="20.25" customHeight="1" thickBot="1" x14ac:dyDescent="0.25">
      <c r="B212" s="1067"/>
      <c r="G212" s="1270"/>
      <c r="H212" s="1271"/>
      <c r="I212" s="1272"/>
      <c r="J212" s="1273"/>
      <c r="L212" s="1146"/>
    </row>
    <row r="213" spans="1:12" ht="21.75" x14ac:dyDescent="0.3">
      <c r="A213" s="854" t="s">
        <v>287</v>
      </c>
      <c r="B213" s="920"/>
      <c r="C213" s="920"/>
      <c r="D213" s="858"/>
      <c r="E213" s="921"/>
      <c r="F213" s="921"/>
      <c r="G213" s="921"/>
      <c r="H213" s="921"/>
      <c r="I213" s="921"/>
      <c r="J213" s="921"/>
    </row>
    <row r="214" spans="1:12" x14ac:dyDescent="0.2">
      <c r="B214" s="1067"/>
    </row>
    <row r="215" spans="1:12" x14ac:dyDescent="0.2">
      <c r="B215" s="1067"/>
    </row>
    <row r="216" spans="1:12" x14ac:dyDescent="0.2">
      <c r="B216" s="1067"/>
    </row>
    <row r="217" spans="1:12" x14ac:dyDescent="0.2">
      <c r="B217" s="1067"/>
    </row>
    <row r="218" spans="1:12" ht="15.75" thickBot="1" x14ac:dyDescent="0.3">
      <c r="B218" s="1067"/>
      <c r="H218" s="642" t="s">
        <v>79</v>
      </c>
      <c r="I218" s="645" t="s">
        <v>136</v>
      </c>
      <c r="J218" s="826" t="s">
        <v>133</v>
      </c>
    </row>
    <row r="219" spans="1:12" ht="13.5" thickTop="1" x14ac:dyDescent="0.2">
      <c r="B219" s="1067"/>
      <c r="G219" s="20" t="str">
        <f>'Standard Ertragsphase'!A172</f>
        <v>Total Ernte</v>
      </c>
      <c r="H219" s="1066">
        <f>'Standard Ertragsphase'!B172</f>
        <v>24350</v>
      </c>
      <c r="I219" s="1054">
        <f>IF(OR(H219=0,H219=""),0,(J219/H219)-1)</f>
        <v>0</v>
      </c>
      <c r="J219" s="1075">
        <f>'Var Ertragsphase'!B172</f>
        <v>24350</v>
      </c>
    </row>
    <row r="220" spans="1:12" ht="13.5" thickBot="1" x14ac:dyDescent="0.25">
      <c r="B220" s="1067"/>
      <c r="G220" s="1051" t="str">
        <f>'Standard Ertragsphase'!A173</f>
        <v>übrige Produktionskosten</v>
      </c>
      <c r="H220" s="1068">
        <f>'Standard Ertragsphase'!B173</f>
        <v>52048.661208638834</v>
      </c>
      <c r="I220" s="1058">
        <f>IF(OR(H220=0,H220=""),0,(J220/H220)-1)</f>
        <v>0</v>
      </c>
      <c r="J220" s="1076">
        <f>'Var Ertragsphase'!B173</f>
        <v>52048.661208638834</v>
      </c>
    </row>
    <row r="221" spans="1:12" ht="15.75" x14ac:dyDescent="0.2">
      <c r="B221" s="1067"/>
      <c r="G221" s="303" t="s">
        <v>297</v>
      </c>
      <c r="H221" s="852">
        <f>SUM(H219:H220)</f>
        <v>76398.661208638834</v>
      </c>
      <c r="I221" s="1054">
        <f>IF(OR(H221=0,H221=""),0,(J221/H221)-1)</f>
        <v>0</v>
      </c>
      <c r="J221" s="879">
        <f>SUM(J219:J220)</f>
        <v>76398.661208638834</v>
      </c>
    </row>
    <row r="222" spans="1:12" x14ac:dyDescent="0.2">
      <c r="B222" s="1067"/>
      <c r="H222" s="1044"/>
      <c r="J222" s="1045"/>
    </row>
    <row r="223" spans="1:12" x14ac:dyDescent="0.2">
      <c r="B223" s="1067"/>
      <c r="G223" s="1052"/>
      <c r="H223" s="1062"/>
      <c r="I223" s="307"/>
      <c r="J223" s="1047"/>
    </row>
    <row r="224" spans="1:12" x14ac:dyDescent="0.2">
      <c r="B224" s="1067"/>
      <c r="G224" s="1052" t="str">
        <f>G219</f>
        <v>Total Ernte</v>
      </c>
      <c r="H224" s="1062">
        <f>'Standard Ertragsphase'!C172</f>
        <v>0.31872286261014487</v>
      </c>
      <c r="I224" s="307"/>
      <c r="J224" s="1047">
        <f>'Var Ertragsphase'!C172</f>
        <v>0.31872286261014487</v>
      </c>
    </row>
    <row r="225" spans="2:10" ht="13.5" thickBot="1" x14ac:dyDescent="0.25">
      <c r="B225" s="1067"/>
      <c r="G225" s="1052" t="str">
        <f>G220</f>
        <v>übrige Produktionskosten</v>
      </c>
      <c r="H225" s="1064">
        <f>'Standard Ertragsphase'!C173</f>
        <v>0.68127713738985507</v>
      </c>
      <c r="I225" s="307"/>
      <c r="J225" s="1049">
        <f>'Var Ertragsphase'!C173</f>
        <v>0.68127713738985507</v>
      </c>
    </row>
    <row r="226" spans="2:10" ht="13.5" thickTop="1" x14ac:dyDescent="0.2">
      <c r="B226" s="1067"/>
    </row>
    <row r="227" spans="2:10" x14ac:dyDescent="0.2">
      <c r="B227" s="1067"/>
    </row>
    <row r="228" spans="2:10" x14ac:dyDescent="0.2">
      <c r="B228" s="1067"/>
    </row>
    <row r="229" spans="2:10" x14ac:dyDescent="0.2">
      <c r="B229" s="1067"/>
    </row>
    <row r="230" spans="2:10" x14ac:dyDescent="0.2">
      <c r="B230" s="1067"/>
    </row>
    <row r="231" spans="2:10" x14ac:dyDescent="0.2">
      <c r="B231" s="1067"/>
    </row>
    <row r="232" spans="2:10" x14ac:dyDescent="0.2">
      <c r="B232" s="1067"/>
    </row>
    <row r="233" spans="2:10" x14ac:dyDescent="0.2">
      <c r="B233" s="1067"/>
    </row>
    <row r="234" spans="2:10" x14ac:dyDescent="0.2">
      <c r="B234" s="1067"/>
    </row>
    <row r="235" spans="2:10" x14ac:dyDescent="0.2">
      <c r="B235" s="1067"/>
    </row>
    <row r="236" spans="2:10" x14ac:dyDescent="0.2">
      <c r="B236" s="1067"/>
    </row>
    <row r="237" spans="2:10" x14ac:dyDescent="0.2">
      <c r="B237" s="1067"/>
    </row>
    <row r="238" spans="2:10" x14ac:dyDescent="0.2">
      <c r="B238" s="1067"/>
    </row>
    <row r="239" spans="2:10" x14ac:dyDescent="0.2">
      <c r="B239" s="1067"/>
    </row>
    <row r="240" spans="2:10" x14ac:dyDescent="0.2">
      <c r="B240" s="1067"/>
    </row>
    <row r="241" spans="1:10" x14ac:dyDescent="0.2">
      <c r="B241" s="1067"/>
    </row>
    <row r="242" spans="1:10" x14ac:dyDescent="0.2">
      <c r="B242" s="1067"/>
    </row>
    <row r="243" spans="1:10" x14ac:dyDescent="0.2">
      <c r="B243" s="1067"/>
    </row>
    <row r="244" spans="1:10" x14ac:dyDescent="0.2">
      <c r="B244" s="1067"/>
      <c r="E244" s="981"/>
    </row>
    <row r="245" spans="1:10" ht="15.75" thickBot="1" x14ac:dyDescent="0.3">
      <c r="B245" s="1067"/>
      <c r="H245" s="642" t="s">
        <v>79</v>
      </c>
      <c r="I245" s="645" t="s">
        <v>136</v>
      </c>
      <c r="J245" s="826" t="s">
        <v>133</v>
      </c>
    </row>
    <row r="246" spans="1:10" ht="13.5" thickTop="1" x14ac:dyDescent="0.2">
      <c r="B246" s="1067"/>
      <c r="G246" s="20" t="str">
        <f>'Standard Ertragsphase'!A176</f>
        <v>Maschinen</v>
      </c>
      <c r="H246" s="1077">
        <f>'Standard Ertragsphase'!B176</f>
        <v>5500</v>
      </c>
      <c r="I246" s="1054">
        <f>IF(OR(H246=0,H246=""),0,(J246/H246)-1)</f>
        <v>0</v>
      </c>
      <c r="J246" s="1075">
        <f>'Var Ertragsphase'!B176</f>
        <v>5500</v>
      </c>
    </row>
    <row r="247" spans="1:10" ht="13.5" thickBot="1" x14ac:dyDescent="0.25">
      <c r="B247" s="1067"/>
      <c r="G247" s="1051" t="str">
        <f>'Standard Ertragsphase'!A177</f>
        <v>Arbeit</v>
      </c>
      <c r="H247" s="1078">
        <f>'Standard Ertragsphase'!B177</f>
        <v>18850</v>
      </c>
      <c r="I247" s="1058">
        <f>IF(OR(H247=0,H247=""),0,(J247/H247)-1)</f>
        <v>0</v>
      </c>
      <c r="J247" s="1076">
        <f>'Var Ertragsphase'!B177</f>
        <v>18850</v>
      </c>
    </row>
    <row r="248" spans="1:10" ht="15.75" x14ac:dyDescent="0.2">
      <c r="A248" s="981"/>
      <c r="B248" s="1069"/>
      <c r="C248" s="1070"/>
      <c r="D248" s="288"/>
      <c r="F248" s="981"/>
      <c r="G248" s="674" t="str">
        <f>'Standard Ertragsphase'!A178</f>
        <v>Total Ernte</v>
      </c>
      <c r="H248" s="853">
        <f>SUM(H246:H247)</f>
        <v>24350</v>
      </c>
      <c r="I248" s="1054">
        <f>IF(OR(H248=0,H248=""),0,(J248/H248)-1)</f>
        <v>0</v>
      </c>
      <c r="J248" s="878">
        <f>SUM(J246:J247)</f>
        <v>24350</v>
      </c>
    </row>
    <row r="249" spans="1:10" x14ac:dyDescent="0.2">
      <c r="B249" s="1067"/>
      <c r="H249" s="1079"/>
      <c r="I249" s="1054"/>
      <c r="J249" s="1045"/>
    </row>
    <row r="250" spans="1:10" x14ac:dyDescent="0.2">
      <c r="B250" s="1067"/>
      <c r="H250" s="1079"/>
      <c r="I250" s="1054"/>
      <c r="J250" s="1045"/>
    </row>
    <row r="251" spans="1:10" x14ac:dyDescent="0.2">
      <c r="B251" s="1067"/>
      <c r="G251" s="20" t="str">
        <f>G246</f>
        <v>Maschinen</v>
      </c>
      <c r="H251" s="1080">
        <f>'Standard Ertragsphase'!C176</f>
        <v>0.22587268993839835</v>
      </c>
      <c r="I251" s="307"/>
      <c r="J251" s="1047">
        <f>'Var Ertragsphase'!C176</f>
        <v>0.22587268993839835</v>
      </c>
    </row>
    <row r="252" spans="1:10" ht="13.5" thickBot="1" x14ac:dyDescent="0.25">
      <c r="B252" s="1067"/>
      <c r="G252" s="20" t="str">
        <f>G247</f>
        <v>Arbeit</v>
      </c>
      <c r="H252" s="1081">
        <f>'Standard Ertragsphase'!C177</f>
        <v>0.77412731006160163</v>
      </c>
      <c r="I252" s="307"/>
      <c r="J252" s="1049">
        <f>'Var Ertragsphase'!C177</f>
        <v>0.77412731006160163</v>
      </c>
    </row>
    <row r="253" spans="1:10" ht="13.5" thickTop="1" x14ac:dyDescent="0.2">
      <c r="B253" s="1067"/>
    </row>
    <row r="254" spans="1:10" x14ac:dyDescent="0.2">
      <c r="B254" s="1067"/>
    </row>
    <row r="255" spans="1:10" x14ac:dyDescent="0.2">
      <c r="B255" s="1067"/>
    </row>
    <row r="256" spans="1:10" x14ac:dyDescent="0.2">
      <c r="B256" s="1067"/>
    </row>
    <row r="257" spans="1:12" x14ac:dyDescent="0.2">
      <c r="B257" s="1067"/>
    </row>
    <row r="258" spans="1:12" x14ac:dyDescent="0.2">
      <c r="B258" s="1067"/>
    </row>
    <row r="259" spans="1:12" x14ac:dyDescent="0.2">
      <c r="B259" s="1067"/>
    </row>
    <row r="260" spans="1:12" x14ac:dyDescent="0.2">
      <c r="B260" s="1067"/>
    </row>
    <row r="261" spans="1:12" ht="21.75" x14ac:dyDescent="0.3">
      <c r="A261" s="854" t="s">
        <v>285</v>
      </c>
      <c r="B261" s="921"/>
      <c r="C261" s="921"/>
      <c r="D261" s="921"/>
      <c r="E261" s="921"/>
      <c r="F261" s="1032"/>
      <c r="G261" s="921"/>
      <c r="H261" s="921"/>
      <c r="I261" s="921"/>
      <c r="J261" s="920"/>
      <c r="K261" s="921"/>
      <c r="L261" s="921"/>
    </row>
    <row r="310" s="20" customFormat="1" x14ac:dyDescent="0.2"/>
    <row r="311" s="20" customFormat="1" x14ac:dyDescent="0.2"/>
    <row r="312" s="20" customFormat="1" x14ac:dyDescent="0.2"/>
    <row r="313" s="20" customFormat="1" x14ac:dyDescent="0.2"/>
    <row r="314" s="20" customFormat="1" x14ac:dyDescent="0.2"/>
    <row r="315" s="20" customFormat="1" x14ac:dyDescent="0.2"/>
    <row r="316" s="20" customFormat="1" x14ac:dyDescent="0.2"/>
    <row r="317" s="20" customFormat="1" x14ac:dyDescent="0.2"/>
    <row r="318" s="20" customFormat="1" x14ac:dyDescent="0.2"/>
    <row r="319" s="20" customFormat="1" x14ac:dyDescent="0.2"/>
    <row r="320" s="20" customFormat="1" x14ac:dyDescent="0.2"/>
    <row r="321" s="20" customFormat="1" x14ac:dyDescent="0.2"/>
    <row r="322" s="20" customFormat="1" x14ac:dyDescent="0.2"/>
    <row r="323" s="20" customFormat="1" x14ac:dyDescent="0.2"/>
    <row r="324" s="20" customFormat="1" x14ac:dyDescent="0.2"/>
    <row r="325" s="20" customFormat="1" x14ac:dyDescent="0.2"/>
    <row r="326" s="20" customFormat="1" x14ac:dyDescent="0.2"/>
    <row r="327" s="20" customFormat="1" x14ac:dyDescent="0.2"/>
    <row r="328" s="20" customFormat="1" x14ac:dyDescent="0.2"/>
    <row r="329" s="20" customFormat="1" x14ac:dyDescent="0.2"/>
    <row r="330" s="20" customFormat="1" x14ac:dyDescent="0.2"/>
    <row r="331" s="20" customFormat="1" x14ac:dyDescent="0.2"/>
    <row r="332" s="20" customFormat="1" x14ac:dyDescent="0.2"/>
    <row r="333" s="20" customFormat="1" x14ac:dyDescent="0.2"/>
    <row r="334" s="20" customFormat="1" x14ac:dyDescent="0.2"/>
    <row r="335" s="20" customFormat="1" x14ac:dyDescent="0.2"/>
    <row r="336" s="20" customFormat="1" x14ac:dyDescent="0.2"/>
    <row r="337" s="20" customFormat="1" x14ac:dyDescent="0.2"/>
    <row r="338" s="20" customFormat="1" x14ac:dyDescent="0.2"/>
    <row r="339" s="20" customFormat="1" x14ac:dyDescent="0.2"/>
    <row r="340" s="20" customFormat="1" x14ac:dyDescent="0.2"/>
    <row r="341" s="20" customFormat="1" x14ac:dyDescent="0.2"/>
    <row r="342" s="20" customFormat="1" x14ac:dyDescent="0.2"/>
    <row r="343" s="20" customFormat="1" x14ac:dyDescent="0.2"/>
    <row r="344" s="20" customFormat="1" x14ac:dyDescent="0.2"/>
    <row r="345" s="20" customFormat="1" x14ac:dyDescent="0.2"/>
    <row r="346" s="20" customFormat="1" x14ac:dyDescent="0.2"/>
    <row r="347" s="20" customFormat="1" x14ac:dyDescent="0.2"/>
    <row r="348" s="20" customFormat="1" x14ac:dyDescent="0.2"/>
    <row r="349" s="20" customFormat="1" x14ac:dyDescent="0.2"/>
    <row r="350" s="20" customFormat="1" x14ac:dyDescent="0.2"/>
    <row r="351" s="20" customFormat="1" x14ac:dyDescent="0.2"/>
    <row r="352" s="20" customFormat="1" x14ac:dyDescent="0.2"/>
    <row r="353" s="20" customFormat="1" x14ac:dyDescent="0.2"/>
    <row r="354" s="20" customFormat="1" x14ac:dyDescent="0.2"/>
    <row r="355" s="20" customFormat="1" x14ac:dyDescent="0.2"/>
    <row r="356" s="20" customFormat="1" x14ac:dyDescent="0.2"/>
    <row r="357" s="20" customFormat="1" x14ac:dyDescent="0.2"/>
    <row r="358" s="20" customFormat="1" x14ac:dyDescent="0.2"/>
    <row r="359" s="20" customFormat="1" x14ac:dyDescent="0.2"/>
    <row r="360" s="20" customFormat="1" x14ac:dyDescent="0.2"/>
    <row r="361" s="20" customFormat="1" x14ac:dyDescent="0.2"/>
    <row r="362" s="20" customFormat="1" x14ac:dyDescent="0.2"/>
    <row r="363" s="20" customFormat="1" x14ac:dyDescent="0.2"/>
    <row r="364" s="20" customFormat="1" x14ac:dyDescent="0.2"/>
    <row r="365" s="20" customFormat="1" x14ac:dyDescent="0.2"/>
    <row r="366" s="20" customFormat="1" x14ac:dyDescent="0.2"/>
    <row r="367" s="20" customFormat="1" x14ac:dyDescent="0.2"/>
    <row r="368" s="20" customFormat="1" x14ac:dyDescent="0.2"/>
    <row r="369" s="20" customFormat="1" x14ac:dyDescent="0.2"/>
    <row r="370" s="20" customFormat="1" x14ac:dyDescent="0.2"/>
    <row r="371" s="20" customFormat="1" x14ac:dyDescent="0.2"/>
    <row r="372" s="20" customFormat="1" x14ac:dyDescent="0.2"/>
    <row r="373" s="20" customFormat="1" x14ac:dyDescent="0.2"/>
    <row r="374" s="20" customFormat="1" x14ac:dyDescent="0.2"/>
    <row r="375" s="20" customFormat="1" x14ac:dyDescent="0.2"/>
    <row r="376" s="20" customFormat="1" x14ac:dyDescent="0.2"/>
    <row r="377" s="20" customFormat="1" x14ac:dyDescent="0.2"/>
    <row r="378" s="20" customFormat="1" x14ac:dyDescent="0.2"/>
    <row r="379" s="20" customFormat="1" x14ac:dyDescent="0.2"/>
    <row r="380" s="20" customFormat="1" x14ac:dyDescent="0.2"/>
  </sheetData>
  <mergeCells count="7">
    <mergeCell ref="A61:D61"/>
    <mergeCell ref="F61:J61"/>
    <mergeCell ref="F38:J38"/>
    <mergeCell ref="B2:E2"/>
    <mergeCell ref="C3:D3"/>
    <mergeCell ref="A38:D38"/>
    <mergeCell ref="A4:G4"/>
  </mergeCells>
  <phoneticPr fontId="25" type="noConversion"/>
  <pageMargins left="0.39370078740157483" right="0.39370078740157483" top="0.59055118110236227" bottom="0.78740157480314965" header="0.51181102362204722" footer="0.51181102362204722"/>
  <pageSetup paperSize="9" scale="76" orientation="landscape" r:id="rId1"/>
  <headerFooter alignWithMargins="0">
    <oddFooter>&amp;L&amp;6&amp;F&amp;C&amp;6&amp;A   &amp;R&amp;6 Kontakt: matthias.zuercher@faw.admin.ch</oddFooter>
  </headerFooter>
  <rowBreaks count="6" manualBreakCount="6">
    <brk id="60" max="16383" man="1"/>
    <brk id="79" max="16383" man="1"/>
    <brk id="120" max="16383" man="1"/>
    <brk id="168" max="16383" man="1"/>
    <brk id="212" max="16383" man="1"/>
    <brk id="260" max="16383" man="1"/>
  </rowBreaks>
  <ignoredErrors>
    <ignoredError sqref="B15" unlocked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tandardErtragsphase">
    <tabColor rgb="FF00359E"/>
  </sheetPr>
  <dimension ref="A1:O179"/>
  <sheetViews>
    <sheetView zoomScale="90" zoomScaleNormal="90" workbookViewId="0">
      <selection activeCell="J10" sqref="J10"/>
    </sheetView>
  </sheetViews>
  <sheetFormatPr baseColWidth="10" defaultColWidth="11.42578125" defaultRowHeight="12.75" x14ac:dyDescent="0.2"/>
  <cols>
    <col min="1" max="1" width="35.140625" customWidth="1"/>
    <col min="2" max="2" width="31.85546875" customWidth="1"/>
    <col min="3" max="3" width="21" customWidth="1"/>
    <col min="4" max="4" width="13.5703125" customWidth="1"/>
    <col min="5" max="5" width="12.7109375" customWidth="1"/>
    <col min="6" max="6" width="16.28515625" customWidth="1"/>
    <col min="7" max="7" width="13.28515625" bestFit="1" customWidth="1"/>
    <col min="8" max="8" width="6.5703125" customWidth="1"/>
    <col min="9" max="9" width="15.5703125" customWidth="1"/>
    <col min="10" max="10" width="16.85546875" style="12" customWidth="1"/>
    <col min="11" max="11" width="11.42578125" style="19" customWidth="1"/>
  </cols>
  <sheetData>
    <row r="1" spans="1:9" ht="32.25" customHeight="1" x14ac:dyDescent="0.4">
      <c r="A1" s="346" t="str">
        <f>'Standard Vorgaben'!A1</f>
        <v>Arbokost 2024</v>
      </c>
      <c r="B1" s="570" t="str">
        <f>'Standard Erstellung'!B1</f>
        <v>Tafelkirsche</v>
      </c>
      <c r="C1" s="336"/>
      <c r="D1" s="336"/>
      <c r="E1" s="328"/>
      <c r="F1" s="328"/>
      <c r="G1" s="328"/>
      <c r="H1" s="69"/>
    </row>
    <row r="2" spans="1:9" ht="21.2" customHeight="1" x14ac:dyDescent="0.25">
      <c r="A2" s="265" t="str">
        <f>'Standard Vorgaben'!$A$2</f>
        <v>Standard 1ha</v>
      </c>
      <c r="B2" s="571">
        <f>'Standard Erstellung'!E16</f>
        <v>900</v>
      </c>
      <c r="C2" s="572"/>
      <c r="D2" s="572"/>
      <c r="E2" s="572"/>
      <c r="F2" s="328"/>
      <c r="G2" s="328"/>
      <c r="H2" s="1"/>
      <c r="I2" s="1"/>
    </row>
    <row r="3" spans="1:9" ht="18" customHeight="1" x14ac:dyDescent="0.25">
      <c r="A3" s="573"/>
      <c r="B3" s="571"/>
      <c r="C3" s="572"/>
      <c r="D3" s="572"/>
      <c r="E3" s="572"/>
      <c r="F3" s="328"/>
      <c r="G3" s="328"/>
      <c r="H3" s="1"/>
      <c r="I3" s="1"/>
    </row>
    <row r="4" spans="1:9" ht="21.2" customHeight="1" x14ac:dyDescent="0.25">
      <c r="A4" s="574"/>
      <c r="B4" s="571"/>
      <c r="C4" s="572"/>
      <c r="D4" s="572"/>
      <c r="E4" s="572"/>
      <c r="F4" s="397" t="s">
        <v>126</v>
      </c>
      <c r="G4" s="16"/>
      <c r="H4" s="1"/>
      <c r="I4" s="1"/>
    </row>
    <row r="5" spans="1:9" ht="23.25" x14ac:dyDescent="0.35">
      <c r="A5" s="561" t="s">
        <v>99</v>
      </c>
      <c r="B5" s="562" t="s">
        <v>367</v>
      </c>
      <c r="C5" s="485"/>
      <c r="D5" s="563"/>
      <c r="E5" s="564"/>
      <c r="F5" s="564"/>
      <c r="G5" s="731"/>
      <c r="H5" s="18"/>
    </row>
    <row r="6" spans="1:9" ht="13.5" customHeight="1" x14ac:dyDescent="0.3">
      <c r="B6" s="266"/>
      <c r="C6" s="34" t="s">
        <v>80</v>
      </c>
      <c r="D6" s="34" t="s">
        <v>59</v>
      </c>
      <c r="E6" s="35" t="s">
        <v>248</v>
      </c>
      <c r="F6" s="36" t="s">
        <v>61</v>
      </c>
      <c r="G6" s="726"/>
      <c r="H6" s="18"/>
    </row>
    <row r="7" spans="1:9" ht="15.75" x14ac:dyDescent="0.25">
      <c r="A7" s="356" t="s">
        <v>63</v>
      </c>
      <c r="B7" s="104" t="str">
        <f>'Standard Vorgaben'!B20</f>
        <v xml:space="preserve"> 22+ mm</v>
      </c>
      <c r="C7" s="113">
        <f>D7/$B$2</f>
        <v>10.000000000000002</v>
      </c>
      <c r="D7" s="60">
        <f>D9*G7</f>
        <v>9000.0000000000018</v>
      </c>
      <c r="E7" s="58">
        <f>'Standard Vorgaben'!B41</f>
        <v>8.1999999999999993</v>
      </c>
      <c r="F7" s="59">
        <f>D7*E7</f>
        <v>73800.000000000015</v>
      </c>
      <c r="G7" s="89">
        <f>'Standard Vorgaben'!B81</f>
        <v>0.90000000000000024</v>
      </c>
      <c r="H7" s="18"/>
    </row>
    <row r="8" spans="1:9" ht="13.5" thickBot="1" x14ac:dyDescent="0.25">
      <c r="A8" s="22"/>
      <c r="B8" s="104" t="str">
        <f>'Standard Vorgaben'!C20</f>
        <v xml:space="preserve"> Abgang</v>
      </c>
      <c r="C8" s="613">
        <f>D8/$B$2</f>
        <v>1.1111111111111109</v>
      </c>
      <c r="D8" s="708">
        <f>D9*G8</f>
        <v>999.99999999999989</v>
      </c>
      <c r="E8" s="709">
        <f>'Standard Vorgaben'!C41</f>
        <v>0</v>
      </c>
      <c r="F8" s="198">
        <f>D8*E8</f>
        <v>0</v>
      </c>
      <c r="G8" s="89">
        <f>'Standard Vorgaben'!C81</f>
        <v>9.9999999999999992E-2</v>
      </c>
      <c r="H8" s="18"/>
    </row>
    <row r="9" spans="1:9" ht="15.75" customHeight="1" x14ac:dyDescent="0.25">
      <c r="A9" s="274" t="s">
        <v>61</v>
      </c>
      <c r="B9" s="121"/>
      <c r="C9" s="87">
        <f>SUM(C7:C7)</f>
        <v>10.000000000000002</v>
      </c>
      <c r="D9" s="411">
        <f>'Standard Vorgaben'!D59</f>
        <v>10000</v>
      </c>
      <c r="E9" s="88">
        <f>(E7*G7)+(E8*G8)</f>
        <v>7.3800000000000017</v>
      </c>
      <c r="F9" s="115">
        <f>D9*E9</f>
        <v>73800.000000000015</v>
      </c>
      <c r="G9" s="813">
        <f>SUM(G7:G8)</f>
        <v>1.0000000000000002</v>
      </c>
      <c r="H9" s="18"/>
    </row>
    <row r="10" spans="1:9" ht="18" customHeight="1" x14ac:dyDescent="0.25">
      <c r="A10" s="274" t="str">
        <f>'Standard Vorgaben'!A34</f>
        <v>Direktzahlungen Bio</v>
      </c>
      <c r="B10" s="121"/>
      <c r="C10" s="86"/>
      <c r="D10" s="87"/>
      <c r="E10" s="88"/>
      <c r="F10" s="196">
        <f>'Standard Vorgaben'!$C$34</f>
        <v>2700</v>
      </c>
      <c r="G10" s="89"/>
      <c r="H10" s="24"/>
    </row>
    <row r="11" spans="1:9" ht="15.75" customHeight="1" thickBot="1" x14ac:dyDescent="0.3">
      <c r="A11" s="540" t="s">
        <v>98</v>
      </c>
      <c r="B11" s="541"/>
      <c r="C11" s="541"/>
      <c r="D11" s="541"/>
      <c r="E11" s="541"/>
      <c r="F11" s="542">
        <f>SUM(F9:F10)</f>
        <v>76500.000000000015</v>
      </c>
      <c r="G11" s="435"/>
      <c r="H11" s="18"/>
    </row>
    <row r="12" spans="1:9" x14ac:dyDescent="0.2">
      <c r="A12" s="4"/>
      <c r="B12" s="4"/>
      <c r="C12" s="34" t="s">
        <v>18</v>
      </c>
      <c r="D12" s="34" t="s">
        <v>178</v>
      </c>
      <c r="E12" s="35" t="s">
        <v>60</v>
      </c>
      <c r="F12" s="41" t="s">
        <v>20</v>
      </c>
      <c r="G12" s="726" t="s">
        <v>62</v>
      </c>
      <c r="H12" s="18"/>
    </row>
    <row r="13" spans="1:9" ht="15.75" x14ac:dyDescent="0.25">
      <c r="A13" s="2" t="s">
        <v>33</v>
      </c>
      <c r="B13" s="20" t="str">
        <f>'Standard Vorgaben'!B95</f>
        <v>Biorga N (12 %)</v>
      </c>
      <c r="C13" s="68">
        <f>'Standard Vorgaben'!B107</f>
        <v>1</v>
      </c>
      <c r="D13" s="12">
        <f>'Standard Vorgaben'!B106</f>
        <v>500</v>
      </c>
      <c r="E13" s="30">
        <f>'Standard Vorgaben'!B96</f>
        <v>1.22</v>
      </c>
      <c r="F13" s="31">
        <f>D13*E13</f>
        <v>610</v>
      </c>
      <c r="G13" s="699">
        <f>F13/$F$73</f>
        <v>7.9844331085087636E-3</v>
      </c>
      <c r="H13" s="18"/>
    </row>
    <row r="14" spans="1:9" x14ac:dyDescent="0.2">
      <c r="A14" s="3"/>
      <c r="B14" s="20" t="str">
        <f>'Standard Vorgaben'!C95</f>
        <v>Mist 
(Frischsubstanz)</v>
      </c>
      <c r="C14" s="1358">
        <f>'Standard Vorgaben'!C107/3*2</f>
        <v>9.3333333333333339</v>
      </c>
      <c r="D14" s="147">
        <f>'Standard Vorgaben'!C106/3*2</f>
        <v>13333.333333333334</v>
      </c>
      <c r="E14" s="148">
        <f>'Standard Vorgaben'!C96</f>
        <v>0.02</v>
      </c>
      <c r="F14" s="38">
        <f>D14*E14</f>
        <v>266.66666666666669</v>
      </c>
      <c r="G14" s="699">
        <f>F14/$F$73</f>
        <v>3.490462561096727E-3</v>
      </c>
      <c r="H14" s="18"/>
    </row>
    <row r="15" spans="1:9" ht="13.5" thickBot="1" x14ac:dyDescent="0.25">
      <c r="A15" s="3"/>
      <c r="B15" s="20" t="str">
        <f>'Standard Vorgaben'!D95</f>
        <v>Kompost (Trockensubstanz)</v>
      </c>
      <c r="C15" s="1250">
        <f>'Standard Vorgaben'!D107/3</f>
        <v>11</v>
      </c>
      <c r="D15" s="147">
        <f>'Standard Vorgaben'!D106/3</f>
        <v>8333.3333333333339</v>
      </c>
      <c r="E15" s="148">
        <f>'Standard Vorgaben'!D96</f>
        <v>0.02</v>
      </c>
      <c r="F15" s="610">
        <f>D15*E15</f>
        <v>166.66666666666669</v>
      </c>
      <c r="G15" s="699">
        <f>F15/$F$73</f>
        <v>2.1815391006854545E-3</v>
      </c>
      <c r="H15" s="18"/>
    </row>
    <row r="16" spans="1:9" x14ac:dyDescent="0.2">
      <c r="A16" s="429"/>
      <c r="B16" s="20"/>
      <c r="C16" s="1268">
        <f>SUM(C13:C15)</f>
        <v>21.333333333333336</v>
      </c>
      <c r="D16" s="12"/>
      <c r="E16" s="30"/>
      <c r="F16" s="33">
        <f>SUM(F13:F15)</f>
        <v>1043.3333333333335</v>
      </c>
      <c r="G16" s="727">
        <f>F16/$F$73</f>
        <v>1.3656434770290946E-2</v>
      </c>
      <c r="H16" s="18"/>
    </row>
    <row r="17" spans="1:15" x14ac:dyDescent="0.2">
      <c r="A17" s="429"/>
      <c r="B17" s="20"/>
      <c r="C17" s="1268"/>
      <c r="D17" s="12"/>
      <c r="E17" s="30"/>
      <c r="F17" s="33"/>
      <c r="G17" s="727"/>
      <c r="H17" s="18"/>
    </row>
    <row r="18" spans="1:15" ht="15.75" x14ac:dyDescent="0.25">
      <c r="A18" s="366" t="str">
        <f>'Standard Vorgaben'!$A$126</f>
        <v>Fungzide</v>
      </c>
      <c r="C18" s="12"/>
      <c r="D18" s="12"/>
      <c r="E18" s="31"/>
      <c r="F18" s="31">
        <f>'Standard Vorgaben'!$G$140</f>
        <v>114.54000000000002</v>
      </c>
      <c r="G18" s="699">
        <f>F18/$F$73</f>
        <v>1.4992409315550718E-3</v>
      </c>
      <c r="H18" s="18"/>
    </row>
    <row r="19" spans="1:15" ht="15.75" x14ac:dyDescent="0.25">
      <c r="A19" s="366" t="str">
        <f>'Standard Vorgaben'!$A$129</f>
        <v>Insektizide</v>
      </c>
      <c r="C19" s="12"/>
      <c r="D19" s="12"/>
      <c r="E19" s="31"/>
      <c r="F19" s="31">
        <f>'Standard Vorgaben'!$G$142</f>
        <v>1745.7599999999998</v>
      </c>
      <c r="G19" s="699">
        <f>F19/$F$73</f>
        <v>2.2850662202475829E-2</v>
      </c>
      <c r="H19" s="18"/>
    </row>
    <row r="20" spans="1:15" ht="16.5" thickBot="1" x14ac:dyDescent="0.3">
      <c r="A20" s="366" t="str">
        <f>'Standard Vorgaben'!$A$133</f>
        <v>Blattdüngung</v>
      </c>
      <c r="C20" s="12"/>
      <c r="D20" s="615"/>
      <c r="E20" s="47"/>
      <c r="F20" s="610">
        <f>'Standard Vorgaben'!$G$143</f>
        <v>0</v>
      </c>
      <c r="G20" s="699">
        <f>F20/$F$73</f>
        <v>0</v>
      </c>
      <c r="H20" s="18"/>
    </row>
    <row r="21" spans="1:15" x14ac:dyDescent="0.2">
      <c r="A21" s="224"/>
      <c r="B21" s="226"/>
      <c r="C21" s="12"/>
      <c r="D21" s="12"/>
      <c r="E21" s="30"/>
      <c r="F21" s="240">
        <f>SUM(F18:F20)</f>
        <v>1860.2999999999997</v>
      </c>
      <c r="G21" s="699">
        <f>F21/$F$73</f>
        <v>2.43499031340309E-2</v>
      </c>
      <c r="H21" s="18"/>
    </row>
    <row r="22" spans="1:15" x14ac:dyDescent="0.2">
      <c r="A22" s="224"/>
      <c r="B22" s="226"/>
      <c r="C22" s="12"/>
      <c r="D22" s="12"/>
      <c r="E22" s="30"/>
      <c r="F22" s="240"/>
      <c r="G22" s="699"/>
      <c r="H22" s="18"/>
    </row>
    <row r="23" spans="1:15" ht="15.75" x14ac:dyDescent="0.25">
      <c r="A23" s="2" t="s">
        <v>170</v>
      </c>
      <c r="B23" s="109"/>
      <c r="C23" s="105"/>
      <c r="D23" s="109"/>
      <c r="E23" s="238"/>
      <c r="F23" s="79">
        <f>'Standard Vorgaben'!E186</f>
        <v>400</v>
      </c>
      <c r="G23" s="727">
        <f>F23/$F$73</f>
        <v>5.23569384164509E-3</v>
      </c>
      <c r="H23" s="18"/>
    </row>
    <row r="24" spans="1:15" ht="15.75" x14ac:dyDescent="0.25">
      <c r="A24" s="2"/>
      <c r="B24" s="1309"/>
      <c r="C24" s="105"/>
      <c r="D24" s="1309"/>
      <c r="E24" s="238"/>
      <c r="F24" s="79"/>
      <c r="G24" s="727"/>
      <c r="H24" s="18"/>
    </row>
    <row r="25" spans="1:15" ht="15.75" x14ac:dyDescent="0.25">
      <c r="A25" s="366" t="s">
        <v>488</v>
      </c>
      <c r="B25" s="1" t="str">
        <f>'Standard Vorgaben'!F33</f>
        <v>Tafelkirschen</v>
      </c>
      <c r="C25" s="4" t="s">
        <v>177</v>
      </c>
      <c r="D25" s="45"/>
      <c r="E25" s="61"/>
      <c r="F25" s="1108">
        <f>'Standard Vorgaben'!G33</f>
        <v>325</v>
      </c>
      <c r="G25" s="699">
        <f t="shared" ref="G25:G32" si="0">F25/$F$73</f>
        <v>4.2540012463366363E-3</v>
      </c>
      <c r="H25" s="18"/>
    </row>
    <row r="26" spans="1:15" x14ac:dyDescent="0.2">
      <c r="A26" s="17"/>
      <c r="B26" s="1" t="str">
        <f>'Standard Vorgaben'!F34</f>
        <v>Brennkirschen</v>
      </c>
      <c r="C26" s="4" t="s">
        <v>65</v>
      </c>
      <c r="D26" s="45"/>
      <c r="E26" s="61">
        <f>'Standard Vorgaben'!G34</f>
        <v>2.57</v>
      </c>
      <c r="F26" s="261">
        <f>E26*D8*0.75/100</f>
        <v>19.274999999999995</v>
      </c>
      <c r="G26" s="699">
        <f t="shared" si="0"/>
        <v>2.5229499699427275E-4</v>
      </c>
      <c r="H26" s="18"/>
    </row>
    <row r="27" spans="1:15" ht="13.5" thickBot="1" x14ac:dyDescent="0.25">
      <c r="A27" s="17"/>
      <c r="B27" s="1" t="str">
        <f>'Standard Vorgaben'!$F$35</f>
        <v>Abzug</v>
      </c>
      <c r="C27" s="4" t="s">
        <v>460</v>
      </c>
      <c r="D27" s="45"/>
      <c r="E27" s="61">
        <f>'Standard Vorgaben'!$G$35</f>
        <v>0.25</v>
      </c>
      <c r="F27" s="607">
        <f>D9*E27</f>
        <v>2500</v>
      </c>
      <c r="G27" s="699">
        <f t="shared" si="0"/>
        <v>3.2723086510281815E-2</v>
      </c>
      <c r="H27" s="18"/>
    </row>
    <row r="28" spans="1:15" ht="12.75" customHeight="1" x14ac:dyDescent="0.2">
      <c r="A28" s="144"/>
      <c r="C28" s="1"/>
      <c r="D28" s="1"/>
      <c r="E28" s="61"/>
      <c r="F28" s="79">
        <f>SUM(F25:F27)</f>
        <v>2844.2750000000001</v>
      </c>
      <c r="G28" s="727">
        <f t="shared" si="0"/>
        <v>3.7229382753612726E-2</v>
      </c>
      <c r="H28" s="18"/>
    </row>
    <row r="29" spans="1:15" ht="55.5" customHeight="1" x14ac:dyDescent="0.2">
      <c r="A29" s="414" t="s">
        <v>535</v>
      </c>
      <c r="B29" s="239" t="s">
        <v>348</v>
      </c>
      <c r="C29" s="199">
        <f>'Standard 1.-16. Standjahr'!AA78</f>
        <v>188625.62539126823</v>
      </c>
      <c r="D29" s="260">
        <f>'Standard Vorgaben'!$B$24</f>
        <v>12</v>
      </c>
      <c r="E29" s="116"/>
      <c r="F29" s="116">
        <f>C29/D29</f>
        <v>15718.802115939019</v>
      </c>
      <c r="G29" s="699">
        <f t="shared" si="0"/>
        <v>0.20574708859114935</v>
      </c>
      <c r="H29" s="18"/>
      <c r="J29" s="239"/>
      <c r="K29" s="199"/>
      <c r="L29" s="260"/>
      <c r="M29" s="116"/>
      <c r="N29" s="116"/>
      <c r="O29" s="699"/>
    </row>
    <row r="30" spans="1:15" s="1" customFormat="1" x14ac:dyDescent="0.2">
      <c r="B30" s="97" t="s">
        <v>229</v>
      </c>
      <c r="C30" s="55">
        <f>'Standard Erstellung'!F165</f>
        <v>46606.812899999997</v>
      </c>
      <c r="D30" s="1362">
        <f>'Standard Vorgaben'!$B$24</f>
        <v>12</v>
      </c>
      <c r="E30" s="1147"/>
      <c r="F30" s="261">
        <f>C30/D30</f>
        <v>3883.9010749999998</v>
      </c>
      <c r="G30" s="699">
        <f t="shared" si="0"/>
        <v>5.0837292349840614E-2</v>
      </c>
      <c r="H30" s="52"/>
      <c r="J30" s="12"/>
      <c r="K30" s="12"/>
      <c r="L30" s="12"/>
      <c r="M30" s="12"/>
      <c r="N30" s="12"/>
      <c r="O30" s="699"/>
    </row>
    <row r="31" spans="1:15" s="1" customFormat="1" ht="13.5" thickBot="1" x14ac:dyDescent="0.25">
      <c r="B31" s="4" t="s">
        <v>536</v>
      </c>
      <c r="C31" s="812">
        <f>'Standard Erstellung'!F183</f>
        <v>5397.51</v>
      </c>
      <c r="D31" s="1362">
        <f>'Standard Vorgaben'!$B$24</f>
        <v>12</v>
      </c>
      <c r="E31" s="1147"/>
      <c r="F31" s="607">
        <f>C31/D31</f>
        <v>449.79250000000002</v>
      </c>
      <c r="G31" s="699">
        <f t="shared" si="0"/>
        <v>5.8874395556703738E-3</v>
      </c>
      <c r="H31" s="52"/>
      <c r="J31" s="12"/>
      <c r="K31" s="12"/>
      <c r="L31" s="12"/>
      <c r="M31" s="12"/>
      <c r="N31" s="12"/>
      <c r="O31" s="699"/>
    </row>
    <row r="32" spans="1:15" s="1" customFormat="1" x14ac:dyDescent="0.2">
      <c r="B32" s="97"/>
      <c r="C32" s="199">
        <f>SUM(C29:C31)</f>
        <v>240629.94829126823</v>
      </c>
      <c r="D32" s="260"/>
      <c r="E32" s="261"/>
      <c r="F32" s="199">
        <f>SUM(F29:F31)</f>
        <v>20052.49569093902</v>
      </c>
      <c r="G32" s="727">
        <f t="shared" si="0"/>
        <v>0.26247182049666035</v>
      </c>
      <c r="H32" s="24"/>
      <c r="J32" s="12"/>
      <c r="K32" s="12"/>
      <c r="L32" s="12"/>
      <c r="M32" s="12"/>
      <c r="N32" s="12"/>
      <c r="O32" s="727"/>
    </row>
    <row r="33" spans="1:15" s="1" customFormat="1" x14ac:dyDescent="0.2">
      <c r="B33" s="97"/>
      <c r="C33" s="199"/>
      <c r="D33" s="260"/>
      <c r="E33" s="261"/>
      <c r="F33" s="199"/>
      <c r="G33" s="727"/>
      <c r="H33" s="24"/>
      <c r="J33" s="12"/>
      <c r="K33" s="12"/>
      <c r="L33" s="12"/>
      <c r="M33" s="12"/>
      <c r="N33" s="12"/>
      <c r="O33" s="727"/>
    </row>
    <row r="34" spans="1:15" ht="15.75" x14ac:dyDescent="0.25">
      <c r="A34" s="366" t="s">
        <v>368</v>
      </c>
      <c r="B34" s="416">
        <f>'Standard Vorgaben'!$C$183</f>
        <v>1701</v>
      </c>
      <c r="C34" s="417">
        <f>'Standard Vorgaben'!$D$183</f>
        <v>1.5</v>
      </c>
      <c r="D34" s="105" t="s">
        <v>209</v>
      </c>
      <c r="E34" s="61">
        <f>'Standard Vorgaben'!$E$184</f>
        <v>0</v>
      </c>
      <c r="F34" s="117">
        <f>(B34*C34)+E34</f>
        <v>2551.5</v>
      </c>
      <c r="G34" s="727">
        <f>F34/$F$73</f>
        <v>3.3397182092393618E-2</v>
      </c>
      <c r="H34" s="18"/>
    </row>
    <row r="35" spans="1:15" s="76" customFormat="1" ht="15.75" x14ac:dyDescent="0.25">
      <c r="A35" s="415" t="s">
        <v>570</v>
      </c>
      <c r="B35" s="78"/>
      <c r="C35" s="399"/>
      <c r="D35" s="154"/>
      <c r="E35" s="698">
        <f>(PMT('Standard Vorgaben'!C35,'Standard Vorgaben'!B24,,'Standard Vorgaben'!C33))*(-1)</f>
        <v>460.07995743737365</v>
      </c>
      <c r="F35" s="1124">
        <f>600+E35</f>
        <v>1060.0799574373737</v>
      </c>
      <c r="G35" s="727">
        <f>F35/$F$73</f>
        <v>1.3875635262015617E-2</v>
      </c>
      <c r="H35" s="728"/>
      <c r="J35" s="178"/>
      <c r="K35" s="183"/>
    </row>
    <row r="36" spans="1:15" s="76" customFormat="1" ht="16.5" thickBot="1" x14ac:dyDescent="0.3">
      <c r="A36" s="415" t="str">
        <f>'Var Vorgaben'!A192</f>
        <v>Frostbekämpfung - Forstversicherung</v>
      </c>
      <c r="B36" s="78"/>
      <c r="C36" s="399"/>
      <c r="D36" s="154"/>
      <c r="E36" s="698"/>
      <c r="F36" s="1124">
        <f>'Standard Vorgaben'!B192</f>
        <v>5000</v>
      </c>
      <c r="G36" s="727">
        <f>F36/$F$73</f>
        <v>6.5446173020563631E-2</v>
      </c>
      <c r="H36" s="728"/>
      <c r="J36" s="178"/>
      <c r="K36" s="183"/>
    </row>
    <row r="37" spans="1:15" ht="19.5" customHeight="1" thickBot="1" x14ac:dyDescent="0.3">
      <c r="A37" s="446" t="s">
        <v>326</v>
      </c>
      <c r="B37" s="432"/>
      <c r="C37" s="546"/>
      <c r="D37" s="546"/>
      <c r="E37" s="433"/>
      <c r="F37" s="544">
        <f>F16+F21+F23+F28+F32+F34+F35+F36</f>
        <v>34811.983981709724</v>
      </c>
      <c r="G37" s="729">
        <f>F37/$F$73</f>
        <v>0.45566222537121281</v>
      </c>
      <c r="H37" s="18"/>
    </row>
    <row r="38" spans="1:15" ht="24" customHeight="1" x14ac:dyDescent="0.25">
      <c r="A38" s="366" t="s">
        <v>369</v>
      </c>
      <c r="C38" s="109" t="s">
        <v>66</v>
      </c>
      <c r="D38" s="145">
        <v>30</v>
      </c>
      <c r="E38" s="61">
        <v>15</v>
      </c>
      <c r="F38" s="79">
        <f>D38*E38</f>
        <v>450</v>
      </c>
      <c r="G38" s="727">
        <f>F38/$F$73</f>
        <v>5.8901555718507267E-3</v>
      </c>
      <c r="H38" s="18"/>
      <c r="J38" s="275" t="s">
        <v>141</v>
      </c>
    </row>
    <row r="39" spans="1:15" ht="18" customHeight="1" x14ac:dyDescent="0.2">
      <c r="C39" s="48" t="s">
        <v>18</v>
      </c>
      <c r="D39" s="119" t="s">
        <v>127</v>
      </c>
      <c r="E39" s="10" t="s">
        <v>130</v>
      </c>
      <c r="F39" s="120" t="s">
        <v>26</v>
      </c>
      <c r="G39" s="1157"/>
      <c r="H39" s="18"/>
      <c r="J39" s="48" t="s">
        <v>556</v>
      </c>
      <c r="K39" s="184" t="s">
        <v>105</v>
      </c>
    </row>
    <row r="40" spans="1:15" ht="15.75" x14ac:dyDescent="0.25">
      <c r="A40" s="366" t="s">
        <v>119</v>
      </c>
      <c r="B40" s="20" t="str">
        <f>'Standard Vorgaben'!B159</f>
        <v>Anhängegebläsespritze, 1000l Fass, mit Bordcomputer</v>
      </c>
      <c r="C40" s="535">
        <f>'Standard Vorgaben'!B145</f>
        <v>5</v>
      </c>
      <c r="D40" s="46">
        <f>'Standard Vorgaben'!C159</f>
        <v>1</v>
      </c>
      <c r="E40" s="61">
        <f>'Standard Vorgaben'!D159</f>
        <v>37</v>
      </c>
      <c r="F40" s="1266">
        <f>C40*E40</f>
        <v>185</v>
      </c>
      <c r="G40" s="699">
        <f t="shared" ref="G40:G55" si="1">F40/$F$73</f>
        <v>2.4215084017608544E-3</v>
      </c>
      <c r="H40" s="18"/>
      <c r="J40" s="324">
        <f>'Standard Vorgaben'!H159</f>
        <v>11.67</v>
      </c>
      <c r="K40" s="19">
        <f>C40*J40</f>
        <v>58.35</v>
      </c>
    </row>
    <row r="41" spans="1:15" x14ac:dyDescent="0.2">
      <c r="A41" s="17"/>
      <c r="B41" s="20" t="str">
        <f>'Standard Vorgaben'!B161</f>
        <v>Düngerstreuer Einkasten 2.5 m</v>
      </c>
      <c r="C41" s="351">
        <f>C13</f>
        <v>1</v>
      </c>
      <c r="D41" s="46">
        <f>'Standard Vorgaben'!C161</f>
        <v>1</v>
      </c>
      <c r="E41" s="61">
        <f>'Standard Vorgaben'!D161</f>
        <v>18</v>
      </c>
      <c r="F41" s="1266">
        <f>C41*E41</f>
        <v>18</v>
      </c>
      <c r="G41" s="699">
        <f t="shared" si="1"/>
        <v>2.3560622287402907E-4</v>
      </c>
      <c r="H41" s="18"/>
      <c r="J41" s="324">
        <f>'Standard Vorgaben'!H161</f>
        <v>7.03</v>
      </c>
      <c r="K41" s="19">
        <f>C41*J41</f>
        <v>7.03</v>
      </c>
    </row>
    <row r="42" spans="1:15" x14ac:dyDescent="0.2">
      <c r="A42" s="17"/>
      <c r="B42" s="20" t="str">
        <f>'Standard Vorgaben'!B162</f>
        <v>Kompoststreuer für Obstanlagen, um 3m³</v>
      </c>
      <c r="C42" s="535">
        <f>C14+C15</f>
        <v>20.333333333333336</v>
      </c>
      <c r="D42" s="46">
        <f>'Standard Vorgaben'!C162</f>
        <v>0.38461538461538458</v>
      </c>
      <c r="E42" s="61">
        <f>'Standard Vorgaben'!D162</f>
        <v>44</v>
      </c>
      <c r="F42" s="1266">
        <f>C42*E42</f>
        <v>894.66666666666674</v>
      </c>
      <c r="G42" s="699">
        <f t="shared" si="1"/>
        <v>1.1710501892479519E-2</v>
      </c>
      <c r="H42" s="18"/>
      <c r="J42" s="324">
        <f>'Standard Vorgaben'!H162</f>
        <v>11.37</v>
      </c>
      <c r="K42" s="19">
        <f>C42*J42</f>
        <v>231.19</v>
      </c>
    </row>
    <row r="43" spans="1:15" x14ac:dyDescent="0.2">
      <c r="A43" s="17"/>
      <c r="B43" s="4" t="str">
        <f>'Standard Vorgaben'!B163</f>
        <v>Hackgerät Ladurner, einseitig</v>
      </c>
      <c r="C43" s="351">
        <f>'Standard Vorgaben'!B146</f>
        <v>3</v>
      </c>
      <c r="D43" s="46">
        <f>'Standard Vorgaben'!C163</f>
        <v>2</v>
      </c>
      <c r="E43" s="61">
        <f>'Standard Vorgaben'!D163</f>
        <v>130</v>
      </c>
      <c r="F43" s="1266">
        <f>C43*E43</f>
        <v>390</v>
      </c>
      <c r="G43" s="699">
        <f t="shared" si="1"/>
        <v>5.1048014956039632E-3</v>
      </c>
      <c r="H43" s="18"/>
      <c r="J43" s="324">
        <f>'Standard Vorgaben'!H163</f>
        <v>21.94</v>
      </c>
      <c r="K43" s="19">
        <f>C43*J43</f>
        <v>65.820000000000007</v>
      </c>
    </row>
    <row r="44" spans="1:15" x14ac:dyDescent="0.2">
      <c r="A44" s="17"/>
      <c r="B44" s="20" t="str">
        <f>'Standard Vorgaben'!B164</f>
        <v>Fadengerät gegen Unkraut, einseitig</v>
      </c>
      <c r="C44" s="351">
        <f>'Standard Vorgaben'!B147</f>
        <v>4</v>
      </c>
      <c r="D44" s="46">
        <f>'Standard Vorgaben'!C164</f>
        <v>1</v>
      </c>
      <c r="E44" s="61">
        <f>'Standard Vorgaben'!D164</f>
        <v>38</v>
      </c>
      <c r="F44" s="1266">
        <f>C44*E44</f>
        <v>152</v>
      </c>
      <c r="G44" s="699">
        <f t="shared" si="1"/>
        <v>1.9895636598251344E-3</v>
      </c>
      <c r="H44" s="18"/>
      <c r="J44" s="324">
        <f>'Standard Vorgaben'!H164</f>
        <v>8.75</v>
      </c>
      <c r="K44" s="19">
        <f>C44*J44</f>
        <v>35</v>
      </c>
    </row>
    <row r="45" spans="1:15" x14ac:dyDescent="0.2">
      <c r="A45" s="17"/>
      <c r="B45" s="20" t="str">
        <f>'Standard Vorgaben'!B165</f>
        <v>Pneuwagen 2achsig, 3t (Ernte)</v>
      </c>
      <c r="C45" s="401">
        <f>'Standard Vorgaben'!C165</f>
        <v>0.1</v>
      </c>
      <c r="D45" s="46">
        <f>C45*C46</f>
        <v>83.333333333333343</v>
      </c>
      <c r="E45" s="61">
        <f>'Standard Vorgaben'!D165</f>
        <v>25</v>
      </c>
      <c r="F45" s="1266">
        <f>D45*E45</f>
        <v>2083.3333333333335</v>
      </c>
      <c r="G45" s="699">
        <f t="shared" si="1"/>
        <v>2.7269238758568182E-2</v>
      </c>
      <c r="H45" s="18"/>
      <c r="J45" s="324">
        <f>'Standard Vorgaben'!H165</f>
        <v>1.53</v>
      </c>
      <c r="K45" s="19">
        <f>D45*J45</f>
        <v>127.50000000000001</v>
      </c>
    </row>
    <row r="46" spans="1:15" x14ac:dyDescent="0.2">
      <c r="A46" s="17"/>
      <c r="B46" s="228" t="s">
        <v>208</v>
      </c>
      <c r="C46" s="400">
        <f>D62</f>
        <v>833.33333333333337</v>
      </c>
      <c r="D46" s="1"/>
      <c r="E46" s="227"/>
      <c r="F46" s="1266"/>
      <c r="G46" s="699">
        <f t="shared" si="1"/>
        <v>0</v>
      </c>
      <c r="H46" s="18"/>
      <c r="J46" s="45"/>
    </row>
    <row r="47" spans="1:15" x14ac:dyDescent="0.2">
      <c r="A47" s="17"/>
      <c r="B47" s="20" t="str">
        <f>'Standard Vorgaben'!B166</f>
        <v>Mulchgerät mit beids. Schwenkarm, 2.8m</v>
      </c>
      <c r="C47" s="45">
        <f>'Standard Vorgaben'!E166</f>
        <v>6</v>
      </c>
      <c r="D47" s="50">
        <f>'Standard Vorgaben'!C166</f>
        <v>0.5</v>
      </c>
      <c r="E47" s="61">
        <f>'Standard Vorgaben'!D166</f>
        <v>42</v>
      </c>
      <c r="F47" s="1266">
        <f>C47*E47</f>
        <v>252</v>
      </c>
      <c r="G47" s="699">
        <f t="shared" si="1"/>
        <v>3.2984871202364069E-3</v>
      </c>
      <c r="H47" s="18"/>
      <c r="J47" s="324">
        <f>'Standard Vorgaben'!H166</f>
        <v>14.5</v>
      </c>
      <c r="K47" s="19">
        <f>C47*J47</f>
        <v>87</v>
      </c>
    </row>
    <row r="48" spans="1:15" x14ac:dyDescent="0.2">
      <c r="A48" s="17"/>
      <c r="B48" s="4" t="s">
        <v>467</v>
      </c>
      <c r="C48" s="45"/>
      <c r="D48" s="50">
        <f>'Standard Vorgaben'!C168</f>
        <v>100</v>
      </c>
      <c r="E48" s="61">
        <f>'Standard Vorgaben'!$I$168</f>
        <v>17.5</v>
      </c>
      <c r="F48" s="1266">
        <f>D48*E48</f>
        <v>1750</v>
      </c>
      <c r="G48" s="699">
        <f t="shared" si="1"/>
        <v>2.2906160557197269E-2</v>
      </c>
      <c r="H48" s="18"/>
      <c r="J48" s="324">
        <f>'Standard Vorgaben'!H168</f>
        <v>3.98</v>
      </c>
      <c r="K48" s="19">
        <f>D48*J48</f>
        <v>398</v>
      </c>
    </row>
    <row r="49" spans="1:11" ht="13.5" thickBot="1" x14ac:dyDescent="0.25">
      <c r="A49" s="17"/>
      <c r="B49" s="20" t="str">
        <f>'Standard Vorgaben'!B167</f>
        <v>Schnittholzhacker</v>
      </c>
      <c r="C49" s="57">
        <f>'Standard Vorgaben'!E167</f>
        <v>1</v>
      </c>
      <c r="D49" s="402">
        <f>'Standard Vorgaben'!C167</f>
        <v>3</v>
      </c>
      <c r="E49" s="61">
        <f>'Standard Vorgaben'!D167</f>
        <v>68.3</v>
      </c>
      <c r="F49" s="812">
        <f>E49*C49</f>
        <v>68.3</v>
      </c>
      <c r="G49" s="699">
        <f t="shared" si="1"/>
        <v>8.939947234608991E-4</v>
      </c>
      <c r="H49" s="18"/>
      <c r="J49" s="324">
        <f>'Standard Vorgaben'!H167</f>
        <v>29.05</v>
      </c>
      <c r="K49" s="19">
        <f>C49*J49</f>
        <v>29.05</v>
      </c>
    </row>
    <row r="50" spans="1:11" x14ac:dyDescent="0.2">
      <c r="A50" s="17"/>
      <c r="B50" s="20" t="s">
        <v>131</v>
      </c>
      <c r="C50" s="45"/>
      <c r="D50" s="412">
        <f>(C40*D40)+(C41*D41)+C42*D42+C43*D43+C44*D44+(D45)+(C47*D47)+(C49*D49)</f>
        <v>113.15384615384616</v>
      </c>
      <c r="E50" s="61"/>
      <c r="F50" s="79">
        <f>SUM(F40:F49)</f>
        <v>5793.3</v>
      </c>
      <c r="G50" s="730">
        <f t="shared" si="1"/>
        <v>7.5829862832006253E-2</v>
      </c>
      <c r="H50" s="18"/>
      <c r="J50" s="324"/>
    </row>
    <row r="51" spans="1:11" x14ac:dyDescent="0.2">
      <c r="A51" s="153"/>
      <c r="B51" s="62" t="str">
        <f>'Standard Vorgaben'!B155</f>
        <v>Obstbautraktor 4-Rad</v>
      </c>
      <c r="C51" s="45"/>
      <c r="D51" s="413">
        <f>D50</f>
        <v>113.15384615384616</v>
      </c>
      <c r="E51" s="61">
        <f>'Standard Vorgaben'!D155</f>
        <v>41</v>
      </c>
      <c r="F51" s="79">
        <f>D51*E51</f>
        <v>4639.3076923076924</v>
      </c>
      <c r="G51" s="699">
        <f t="shared" si="1"/>
        <v>6.0724986785280204E-2</v>
      </c>
      <c r="H51" s="700">
        <f>D45</f>
        <v>83.333333333333343</v>
      </c>
      <c r="I51" t="s">
        <v>132</v>
      </c>
      <c r="J51" s="701">
        <f>'Standard Vorgaben'!H173</f>
        <v>20</v>
      </c>
      <c r="K51" s="147">
        <f>D51*J51</f>
        <v>2263.0769230769233</v>
      </c>
    </row>
    <row r="52" spans="1:11" x14ac:dyDescent="0.2">
      <c r="A52" s="1396" t="s">
        <v>513</v>
      </c>
      <c r="B52" s="20" t="str">
        <f>'Standard Vorgaben'!B155</f>
        <v>Obstbautraktor 4-Rad</v>
      </c>
      <c r="C52" s="45">
        <f>'Standard Vorgaben'!C195</f>
        <v>0</v>
      </c>
      <c r="D52" s="1218">
        <v>10</v>
      </c>
      <c r="E52" s="61">
        <f>'Standard Vorgaben'!D155</f>
        <v>41</v>
      </c>
      <c r="F52" s="79">
        <f>C52*D52*E52</f>
        <v>0</v>
      </c>
      <c r="G52" s="699">
        <f t="shared" si="1"/>
        <v>0</v>
      </c>
      <c r="H52" s="700"/>
      <c r="J52" s="701"/>
      <c r="K52" s="147"/>
    </row>
    <row r="53" spans="1:11" x14ac:dyDescent="0.2">
      <c r="A53" s="1396"/>
      <c r="B53" s="20" t="str">
        <f>'Standard Vorgaben'!B168</f>
        <v>Hebebühne schwer, selbstfahrend, elektrisch</v>
      </c>
      <c r="C53" s="45">
        <f>'Standard Vorgaben'!C195</f>
        <v>0</v>
      </c>
      <c r="D53" s="1218">
        <v>10</v>
      </c>
      <c r="E53" s="61">
        <f>'Standard Vorgaben'!D168</f>
        <v>17.5</v>
      </c>
      <c r="F53" s="79">
        <f>C53*D53*E53</f>
        <v>0</v>
      </c>
      <c r="G53" s="699">
        <f t="shared" si="1"/>
        <v>0</v>
      </c>
      <c r="H53" s="700"/>
      <c r="J53" s="701"/>
      <c r="K53" s="147"/>
    </row>
    <row r="54" spans="1:11" ht="13.5" thickBot="1" x14ac:dyDescent="0.25">
      <c r="A54" s="143"/>
      <c r="B54" s="20" t="str">
        <f>'Standard Vorgaben'!B169</f>
        <v>Diverse Kleingeräte</v>
      </c>
      <c r="C54" s="45"/>
      <c r="D54" s="45"/>
      <c r="E54" s="61"/>
      <c r="F54" s="814">
        <f>'Standard Vorgaben'!D169</f>
        <v>500</v>
      </c>
      <c r="G54" s="699">
        <f t="shared" si="1"/>
        <v>6.5446173020563625E-3</v>
      </c>
      <c r="H54" s="18"/>
      <c r="K54" s="19">
        <f>F54</f>
        <v>500</v>
      </c>
    </row>
    <row r="55" spans="1:11" ht="13.5" thickBot="1" x14ac:dyDescent="0.25">
      <c r="A55" s="106"/>
      <c r="B55" s="20"/>
      <c r="C55" s="45"/>
      <c r="D55" s="45"/>
      <c r="E55" s="61"/>
      <c r="F55" s="79">
        <f>SUM(F50:F54)</f>
        <v>10932.607692307693</v>
      </c>
      <c r="G55" s="727">
        <f t="shared" si="1"/>
        <v>0.14309946691934283</v>
      </c>
      <c r="H55" s="18"/>
      <c r="I55" s="275" t="s">
        <v>141</v>
      </c>
      <c r="K55" s="277">
        <f>SUM(K40:K54)</f>
        <v>3802.0169230769234</v>
      </c>
    </row>
    <row r="56" spans="1:11" ht="13.5" thickTop="1" x14ac:dyDescent="0.2">
      <c r="B56" s="20"/>
      <c r="C56" s="57"/>
      <c r="D56" s="119" t="s">
        <v>31</v>
      </c>
      <c r="E56" s="122" t="s">
        <v>25</v>
      </c>
      <c r="F56" s="1267" t="s">
        <v>26</v>
      </c>
      <c r="G56" s="699"/>
      <c r="H56" s="18"/>
    </row>
    <row r="57" spans="1:11" ht="16.5" thickBot="1" x14ac:dyDescent="0.3">
      <c r="A57" s="366" t="s">
        <v>70</v>
      </c>
      <c r="B57" s="20" t="s">
        <v>33</v>
      </c>
      <c r="C57" s="57"/>
      <c r="D57" s="403">
        <f>C41*D41</f>
        <v>1</v>
      </c>
      <c r="E57" s="61">
        <f>'Standard Vorgaben'!$C$31</f>
        <v>32.700000000000003</v>
      </c>
      <c r="F57" s="1266">
        <f>D57*E57</f>
        <v>32.700000000000003</v>
      </c>
      <c r="G57" s="699">
        <f t="shared" ref="G57:G73" si="2">F57/$F$73</f>
        <v>4.2801797155448616E-4</v>
      </c>
      <c r="H57" s="18"/>
      <c r="I57" s="276" t="s">
        <v>249</v>
      </c>
      <c r="K57" s="278">
        <f>F55-K55</f>
        <v>7130.5907692307692</v>
      </c>
    </row>
    <row r="58" spans="1:11" ht="13.5" thickTop="1" x14ac:dyDescent="0.2">
      <c r="A58" s="17"/>
      <c r="B58" s="4" t="s">
        <v>203</v>
      </c>
      <c r="D58" s="137">
        <f>((C40*D40)+C43*D43+C44*D44)+'Standard Vorgaben'!B87+'Standard Vorgaben'!C87</f>
        <v>35</v>
      </c>
      <c r="E58" s="61">
        <f>'Standard Vorgaben'!$C$31</f>
        <v>32.700000000000003</v>
      </c>
      <c r="F58" s="1266">
        <f t="shared" ref="F58:F66" si="3">D58*E58</f>
        <v>1144.5</v>
      </c>
      <c r="G58" s="699">
        <f t="shared" si="2"/>
        <v>1.4980629004407015E-2</v>
      </c>
      <c r="H58" s="18"/>
    </row>
    <row r="59" spans="1:11" x14ac:dyDescent="0.2">
      <c r="A59" s="84"/>
      <c r="B59" s="84" t="s">
        <v>366</v>
      </c>
      <c r="C59" s="45"/>
      <c r="D59" s="182">
        <f>'Standard Vorgaben'!D87</f>
        <v>100</v>
      </c>
      <c r="E59" s="61">
        <f>'Standard Vorgaben'!$C$31</f>
        <v>32.700000000000003</v>
      </c>
      <c r="F59" s="1266">
        <f t="shared" si="3"/>
        <v>3270.0000000000005</v>
      </c>
      <c r="G59" s="699">
        <f t="shared" si="2"/>
        <v>4.2801797155448622E-2</v>
      </c>
      <c r="H59" s="18"/>
    </row>
    <row r="60" spans="1:11" x14ac:dyDescent="0.2">
      <c r="A60" s="17"/>
      <c r="B60" s="20" t="s">
        <v>117</v>
      </c>
      <c r="C60" s="45"/>
      <c r="D60" s="351">
        <f>(C47*D47)+(C49*D49)</f>
        <v>6</v>
      </c>
      <c r="E60" s="61">
        <f>'Standard Vorgaben'!$C$31</f>
        <v>32.700000000000003</v>
      </c>
      <c r="F60" s="1266">
        <f t="shared" si="3"/>
        <v>196.20000000000002</v>
      </c>
      <c r="G60" s="699">
        <f t="shared" si="2"/>
        <v>2.5681078293269171E-3</v>
      </c>
      <c r="H60" s="18"/>
    </row>
    <row r="61" spans="1:11" x14ac:dyDescent="0.2">
      <c r="A61" s="17"/>
      <c r="B61" s="4" t="s">
        <v>293</v>
      </c>
      <c r="C61" s="1"/>
      <c r="D61" s="1252">
        <f>'Standard Vorgaben'!E87</f>
        <v>0</v>
      </c>
      <c r="E61" s="61">
        <f>'Standard Vorgaben'!$C$31</f>
        <v>32.700000000000003</v>
      </c>
      <c r="F61" s="1266">
        <f t="shared" si="3"/>
        <v>0</v>
      </c>
      <c r="G61" s="699">
        <f t="shared" si="2"/>
        <v>0</v>
      </c>
      <c r="H61" s="18"/>
    </row>
    <row r="62" spans="1:11" x14ac:dyDescent="0.2">
      <c r="A62" s="17"/>
      <c r="B62" s="3" t="s">
        <v>183</v>
      </c>
      <c r="C62" s="807">
        <f>'Standard Vorgaben'!D81</f>
        <v>12</v>
      </c>
      <c r="D62" s="137">
        <f>D9/C62</f>
        <v>833.33333333333337</v>
      </c>
      <c r="E62" s="61">
        <f>'Standard Vorgaben'!C30</f>
        <v>22.62</v>
      </c>
      <c r="F62" s="1266">
        <f t="shared" si="3"/>
        <v>18850</v>
      </c>
      <c r="G62" s="699">
        <f t="shared" si="2"/>
        <v>0.24673207228752489</v>
      </c>
      <c r="H62" s="18"/>
    </row>
    <row r="63" spans="1:11" x14ac:dyDescent="0.2">
      <c r="A63" s="17"/>
      <c r="B63" s="97" t="s">
        <v>228</v>
      </c>
      <c r="C63" s="1"/>
      <c r="D63" s="45">
        <f>'Standard Erstellung'!D128+'Standard Erstellung'!D129</f>
        <v>40</v>
      </c>
      <c r="E63" s="61">
        <f>'Standard Vorgaben'!$C$30</f>
        <v>22.62</v>
      </c>
      <c r="F63" s="1266">
        <f t="shared" si="3"/>
        <v>904.80000000000007</v>
      </c>
      <c r="G63" s="699">
        <f t="shared" si="2"/>
        <v>1.1843139469801195E-2</v>
      </c>
      <c r="H63" s="18"/>
    </row>
    <row r="64" spans="1:11" x14ac:dyDescent="0.2">
      <c r="A64" s="17"/>
      <c r="B64" s="97" t="s">
        <v>509</v>
      </c>
      <c r="C64" s="1"/>
      <c r="D64" s="45">
        <f>'Standard Erstellung'!E139</f>
        <v>0</v>
      </c>
      <c r="E64" s="61">
        <f>'Standard Vorgaben'!$C$30</f>
        <v>22.62</v>
      </c>
      <c r="F64" s="1266">
        <f t="shared" si="3"/>
        <v>0</v>
      </c>
      <c r="G64" s="699">
        <f t="shared" si="2"/>
        <v>0</v>
      </c>
      <c r="H64" s="18"/>
    </row>
    <row r="65" spans="1:11" x14ac:dyDescent="0.2">
      <c r="A65" s="17"/>
      <c r="B65" s="1" t="s">
        <v>412</v>
      </c>
      <c r="C65" s="1"/>
      <c r="D65" s="45">
        <f>'Standard Erstellung'!$D$143</f>
        <v>20</v>
      </c>
      <c r="E65" s="61">
        <f>'Standard Vorgaben'!$C$30</f>
        <v>22.62</v>
      </c>
      <c r="F65" s="1266">
        <f>D65*E65</f>
        <v>452.40000000000003</v>
      </c>
      <c r="G65" s="699">
        <f t="shared" si="2"/>
        <v>5.9215697349005976E-3</v>
      </c>
      <c r="H65" s="18"/>
    </row>
    <row r="66" spans="1:11" x14ac:dyDescent="0.2">
      <c r="B66" s="1" t="s">
        <v>400</v>
      </c>
      <c r="C66" s="1"/>
      <c r="D66" s="45">
        <f>'Standard Erstellung'!D147+'Standard Erstellung'!D148</f>
        <v>14</v>
      </c>
      <c r="E66" s="61">
        <f>'Standard Vorgaben'!$C$31</f>
        <v>32.700000000000003</v>
      </c>
      <c r="F66" s="1266">
        <f t="shared" si="3"/>
        <v>457.80000000000007</v>
      </c>
      <c r="G66" s="699">
        <f t="shared" si="2"/>
        <v>5.9922516017628068E-3</v>
      </c>
      <c r="H66" s="18"/>
    </row>
    <row r="67" spans="1:11" ht="13.5" thickBot="1" x14ac:dyDescent="0.25">
      <c r="A67" s="17"/>
      <c r="B67" s="4" t="s">
        <v>116</v>
      </c>
      <c r="C67" s="45"/>
      <c r="D67" s="808">
        <f>'Standard Vorgaben'!F87+'Standard Vorgaben'!G87</f>
        <v>50</v>
      </c>
      <c r="E67" s="61">
        <f>'Standard Vorgaben'!$C$27</f>
        <v>41.4</v>
      </c>
      <c r="F67" s="812">
        <f>D67*E67</f>
        <v>2070</v>
      </c>
      <c r="G67" s="699">
        <f t="shared" si="2"/>
        <v>2.7094715630513341E-2</v>
      </c>
      <c r="H67" s="18"/>
    </row>
    <row r="68" spans="1:11" x14ac:dyDescent="0.2">
      <c r="A68" s="130" t="s">
        <v>107</v>
      </c>
      <c r="B68" s="537">
        <f>('Standard Vorgaben'!$F$29*D61)+('Standard Vorgaben'!$F$29*D62)</f>
        <v>750</v>
      </c>
      <c r="C68" s="154" t="s">
        <v>105</v>
      </c>
      <c r="D68" s="404">
        <f>SUM(D57:D67)</f>
        <v>1099.3333333333335</v>
      </c>
      <c r="E68" s="61"/>
      <c r="F68" s="79">
        <f>SUM(F57:F67)</f>
        <v>27378.400000000001</v>
      </c>
      <c r="G68" s="727">
        <f t="shared" si="2"/>
        <v>0.35836230068523989</v>
      </c>
      <c r="H68" s="18"/>
    </row>
    <row r="69" spans="1:11" ht="15.75" x14ac:dyDescent="0.25">
      <c r="A69" s="366" t="s">
        <v>73</v>
      </c>
      <c r="B69" s="20" t="s">
        <v>71</v>
      </c>
      <c r="C69" s="45"/>
      <c r="D69" s="45"/>
      <c r="E69" s="61"/>
      <c r="F69" s="43">
        <f>'Standard Vorgaben'!C37</f>
        <v>660</v>
      </c>
      <c r="G69" s="730">
        <f t="shared" si="2"/>
        <v>8.6388948387143994E-3</v>
      </c>
      <c r="H69" s="18"/>
    </row>
    <row r="70" spans="1:11" ht="13.5" thickBot="1" x14ac:dyDescent="0.25">
      <c r="B70" t="s">
        <v>233</v>
      </c>
      <c r="C70" s="684">
        <f>'Standard Vorgaben'!C36</f>
        <v>0.6</v>
      </c>
      <c r="D70" s="702">
        <f>'Standard Vorgaben'!C35</f>
        <v>1.4999999999999999E-2</v>
      </c>
      <c r="E70" s="261">
        <f>C32</f>
        <v>240629.94829126823</v>
      </c>
      <c r="F70" s="198">
        <f>$D$70*E70*$C$70</f>
        <v>2165.6695346214137</v>
      </c>
      <c r="G70" s="730">
        <f t="shared" si="2"/>
        <v>2.8346956613639313E-2</v>
      </c>
      <c r="H70" s="18"/>
    </row>
    <row r="71" spans="1:11" ht="13.5" thickBot="1" x14ac:dyDescent="0.25">
      <c r="F71" s="240">
        <f>SUM(F69:F70)</f>
        <v>2825.6695346214137</v>
      </c>
      <c r="G71" s="727">
        <f t="shared" si="2"/>
        <v>3.698585145235371E-2</v>
      </c>
      <c r="H71" s="18"/>
    </row>
    <row r="72" spans="1:11" ht="16.5" thickBot="1" x14ac:dyDescent="0.3">
      <c r="A72" s="446" t="s">
        <v>38</v>
      </c>
      <c r="B72" s="447"/>
      <c r="C72" s="543"/>
      <c r="D72" s="448"/>
      <c r="E72" s="449"/>
      <c r="F72" s="734">
        <f>F71+F68+F55+F38</f>
        <v>41586.67722692911</v>
      </c>
      <c r="G72" s="729">
        <f t="shared" si="2"/>
        <v>0.54433777462878719</v>
      </c>
      <c r="H72" s="18"/>
    </row>
    <row r="73" spans="1:11" s="74" customFormat="1" ht="24.75" customHeight="1" thickBot="1" x14ac:dyDescent="0.35">
      <c r="A73" s="457" t="s">
        <v>297</v>
      </c>
      <c r="B73" s="447"/>
      <c r="C73" s="543"/>
      <c r="D73" s="448"/>
      <c r="E73" s="449"/>
      <c r="F73" s="544">
        <f>F72+F37</f>
        <v>76398.661208638834</v>
      </c>
      <c r="G73" s="729">
        <f t="shared" si="2"/>
        <v>1</v>
      </c>
      <c r="H73" s="720"/>
      <c r="I73" s="96"/>
      <c r="J73" s="179"/>
      <c r="K73" s="185"/>
    </row>
    <row r="74" spans="1:11" s="74" customFormat="1" ht="15" customHeight="1" x14ac:dyDescent="0.3">
      <c r="A74" s="381" t="s">
        <v>74</v>
      </c>
      <c r="B74" s="405"/>
      <c r="C74" s="406"/>
      <c r="D74" s="407"/>
      <c r="E74" s="408"/>
      <c r="F74" s="409">
        <f>F11-F73</f>
        <v>101.33879136118048</v>
      </c>
      <c r="G74" s="719"/>
      <c r="H74" s="720"/>
      <c r="I74" s="96"/>
      <c r="J74" s="179"/>
      <c r="K74" s="185"/>
    </row>
    <row r="75" spans="1:11" s="74" customFormat="1" ht="18.75" customHeight="1" x14ac:dyDescent="0.3">
      <c r="A75" s="381" t="s">
        <v>370</v>
      </c>
      <c r="B75" s="405"/>
      <c r="C75" s="406"/>
      <c r="D75" s="407"/>
      <c r="E75" s="408"/>
      <c r="F75" s="419">
        <f>F11/F73</f>
        <v>1.0013264472146237</v>
      </c>
      <c r="G75" s="719"/>
      <c r="H75" s="720"/>
      <c r="I75" s="96"/>
      <c r="J75" s="179"/>
      <c r="K75" s="185"/>
    </row>
    <row r="76" spans="1:11" s="74" customFormat="1" ht="18.75" customHeight="1" x14ac:dyDescent="0.3">
      <c r="A76" s="381" t="s">
        <v>371</v>
      </c>
      <c r="B76" s="405"/>
      <c r="C76" s="406"/>
      <c r="D76" s="407"/>
      <c r="E76" s="408"/>
      <c r="F76" s="1367">
        <f>F74+F32</f>
        <v>20153.834482300201</v>
      </c>
      <c r="G76" s="719"/>
      <c r="H76" s="720"/>
      <c r="I76" s="96"/>
      <c r="J76" s="179"/>
      <c r="K76" s="185"/>
    </row>
    <row r="77" spans="1:11" s="1" customFormat="1" ht="16.5" customHeight="1" x14ac:dyDescent="0.25">
      <c r="A77" s="377" t="s">
        <v>75</v>
      </c>
      <c r="B77" s="97"/>
      <c r="C77" s="351"/>
      <c r="D77" s="403"/>
      <c r="E77" s="212"/>
      <c r="F77" s="409">
        <f>F73-F68</f>
        <v>49020.261208638833</v>
      </c>
      <c r="G77" s="699"/>
      <c r="H77" s="721"/>
      <c r="J77" s="45"/>
      <c r="K77" s="182"/>
    </row>
    <row r="78" spans="1:11" ht="15.75" thickBot="1" x14ac:dyDescent="0.3">
      <c r="A78" s="381" t="s">
        <v>372</v>
      </c>
      <c r="B78" s="104"/>
      <c r="C78" s="104"/>
      <c r="D78" s="104"/>
      <c r="E78" s="104"/>
      <c r="F78" s="418">
        <f>F11-F77</f>
        <v>27479.738791361182</v>
      </c>
      <c r="G78" s="18"/>
      <c r="H78" s="722"/>
    </row>
    <row r="79" spans="1:11" ht="18.75" thickBot="1" x14ac:dyDescent="0.3">
      <c r="A79" s="457" t="s">
        <v>76</v>
      </c>
      <c r="B79" s="446"/>
      <c r="C79" s="446"/>
      <c r="D79" s="446"/>
      <c r="E79" s="446"/>
      <c r="F79" s="1269">
        <f>F78/D68</f>
        <v>24.996730252905863</v>
      </c>
      <c r="G79" s="18"/>
      <c r="H79" s="18"/>
    </row>
    <row r="80" spans="1:11" s="21" customFormat="1" ht="16.5" thickBot="1" x14ac:dyDescent="0.3">
      <c r="A80" s="446" t="s">
        <v>106</v>
      </c>
      <c r="B80" s="446"/>
      <c r="C80" s="446"/>
      <c r="D80" s="446"/>
      <c r="E80" s="446"/>
      <c r="F80" s="733">
        <f>(F78-(B68*'Standard Vorgaben'!C29))/(D68-B68)</f>
        <v>32.504023257713293</v>
      </c>
      <c r="G80" s="98"/>
      <c r="H80" s="98"/>
      <c r="J80" s="180"/>
      <c r="K80" s="186"/>
    </row>
    <row r="81" spans="1:11" s="73" customFormat="1" ht="22.5" customHeight="1" x14ac:dyDescent="0.25">
      <c r="A81" s="377" t="s">
        <v>296</v>
      </c>
      <c r="B81" s="104" t="s">
        <v>295</v>
      </c>
      <c r="C81" s="410">
        <f>F9-F37</f>
        <v>38988.016018290291</v>
      </c>
      <c r="D81" s="121" t="s">
        <v>100</v>
      </c>
      <c r="E81" s="121"/>
      <c r="F81" s="409">
        <f>F11-F37</f>
        <v>41688.016018290291</v>
      </c>
      <c r="G81" s="1317" t="s">
        <v>571</v>
      </c>
      <c r="H81" s="723"/>
      <c r="J81" s="181"/>
      <c r="K81" s="187"/>
    </row>
    <row r="82" spans="1:11" ht="15.75" customHeight="1" x14ac:dyDescent="0.25">
      <c r="A82" s="420" t="s">
        <v>143</v>
      </c>
      <c r="B82" s="1395" t="s">
        <v>144</v>
      </c>
      <c r="C82" s="1395"/>
      <c r="D82" s="1395"/>
      <c r="E82" s="1395"/>
      <c r="F82" s="715">
        <f>K55+F68+F16+F21+F28+F23</f>
        <v>37328.325256410259</v>
      </c>
      <c r="G82" s="59">
        <f>F11</f>
        <v>76500.000000000015</v>
      </c>
      <c r="H82" s="18"/>
      <c r="I82" t="s">
        <v>218</v>
      </c>
    </row>
    <row r="83" spans="1:11" ht="15" x14ac:dyDescent="0.25">
      <c r="A83" s="381" t="s">
        <v>166</v>
      </c>
      <c r="B83" s="1" t="s">
        <v>167</v>
      </c>
      <c r="C83" s="1"/>
      <c r="D83" s="1"/>
      <c r="E83" s="1"/>
      <c r="F83" s="716">
        <f>F11/D68</f>
        <v>69.587628865979383</v>
      </c>
      <c r="G83" s="24"/>
      <c r="H83" s="18"/>
    </row>
    <row r="84" spans="1:11" ht="15.75" customHeight="1" x14ac:dyDescent="0.25">
      <c r="A84" s="381"/>
      <c r="B84" s="4" t="s">
        <v>562</v>
      </c>
      <c r="C84" s="1"/>
      <c r="D84" s="1"/>
      <c r="E84" s="1"/>
      <c r="F84" s="717">
        <f>D7/D68</f>
        <v>8.1867798665858107</v>
      </c>
      <c r="G84" s="24"/>
      <c r="H84" s="18"/>
    </row>
    <row r="85" spans="1:11" s="1" customFormat="1" ht="15" x14ac:dyDescent="0.25">
      <c r="A85" s="381" t="s">
        <v>168</v>
      </c>
      <c r="B85" s="1" t="s">
        <v>269</v>
      </c>
      <c r="F85" s="718">
        <f>(F74+F70)/E70</f>
        <v>9.4211395633868305E-3</v>
      </c>
      <c r="G85" s="24"/>
      <c r="H85" s="24"/>
      <c r="I85" s="1" t="s">
        <v>219</v>
      </c>
      <c r="J85" s="45"/>
      <c r="K85" s="8">
        <f>F73-F71</f>
        <v>73572.991674017423</v>
      </c>
    </row>
    <row r="86" spans="1:11" ht="20.25" x14ac:dyDescent="0.3">
      <c r="A86" s="434" t="s">
        <v>101</v>
      </c>
      <c r="B86" s="446" t="s">
        <v>102</v>
      </c>
      <c r="C86" s="367"/>
      <c r="D86" s="367"/>
      <c r="E86" s="367"/>
      <c r="F86" s="547">
        <f>F73/D9</f>
        <v>7.6398661208638838</v>
      </c>
      <c r="G86" s="18"/>
      <c r="H86" s="18"/>
      <c r="I86" t="s">
        <v>220</v>
      </c>
      <c r="K86" s="19">
        <f>F11-K85</f>
        <v>2927.0083259825915</v>
      </c>
    </row>
    <row r="87" spans="1:11" ht="16.5" thickBot="1" x14ac:dyDescent="0.3">
      <c r="D87" s="40" t="s">
        <v>77</v>
      </c>
      <c r="E87" s="40" t="s">
        <v>78</v>
      </c>
      <c r="F87" s="299"/>
      <c r="G87" s="18"/>
      <c r="H87" s="724"/>
    </row>
    <row r="88" spans="1:11" s="1" customFormat="1" ht="15.75" x14ac:dyDescent="0.25">
      <c r="A88" s="446" t="s">
        <v>142</v>
      </c>
      <c r="B88" s="423" t="s">
        <v>91</v>
      </c>
      <c r="C88" s="655" t="str">
        <f>B7</f>
        <v xml:space="preserve"> 22+ mm</v>
      </c>
      <c r="D88" s="93">
        <f>F7/F9</f>
        <v>1</v>
      </c>
      <c r="E88" s="81">
        <f>D88*F73</f>
        <v>76398.661208638834</v>
      </c>
      <c r="F88" s="421">
        <f>E88/D7</f>
        <v>8.4887401342932023</v>
      </c>
      <c r="G88" s="24"/>
      <c r="H88" s="24"/>
      <c r="J88" s="45"/>
      <c r="K88" s="182"/>
    </row>
    <row r="89" spans="1:11" s="18" customFormat="1" ht="15.75" thickBot="1" x14ac:dyDescent="0.3">
      <c r="A89" s="24" t="s">
        <v>373</v>
      </c>
      <c r="B89"/>
      <c r="C89" s="655" t="str">
        <f>B8</f>
        <v xml:space="preserve"> Abgang</v>
      </c>
      <c r="D89" s="93">
        <f>F8/F9</f>
        <v>0</v>
      </c>
      <c r="E89" s="81">
        <f>D89*F73</f>
        <v>0</v>
      </c>
      <c r="F89" s="422">
        <f>E89/D8</f>
        <v>0</v>
      </c>
      <c r="J89" s="13"/>
      <c r="K89" s="147"/>
    </row>
    <row r="90" spans="1:11" ht="18" x14ac:dyDescent="0.25">
      <c r="A90" s="457" t="s">
        <v>257</v>
      </c>
      <c r="B90" s="367"/>
      <c r="C90" s="367"/>
      <c r="D90" s="367"/>
      <c r="E90" s="367"/>
      <c r="F90" s="548"/>
      <c r="G90" s="1"/>
    </row>
    <row r="91" spans="1:11" x14ac:dyDescent="0.2">
      <c r="F91" s="47"/>
    </row>
    <row r="92" spans="1:11" s="243" customFormat="1" ht="21.75" customHeight="1" x14ac:dyDescent="0.2">
      <c r="A92" s="288" t="s">
        <v>258</v>
      </c>
      <c r="B92" s="255" t="s">
        <v>79</v>
      </c>
      <c r="C92" s="289" t="s">
        <v>259</v>
      </c>
      <c r="J92" s="255"/>
      <c r="K92" s="290"/>
    </row>
    <row r="93" spans="1:11" x14ac:dyDescent="0.2">
      <c r="A93" t="s">
        <v>198</v>
      </c>
      <c r="B93" s="43">
        <f>F68</f>
        <v>27378.400000000001</v>
      </c>
      <c r="C93" s="295">
        <f>B93/$B$96</f>
        <v>0.35836230068523989</v>
      </c>
    </row>
    <row r="94" spans="1:11" x14ac:dyDescent="0.2">
      <c r="A94" t="s">
        <v>260</v>
      </c>
      <c r="B94" s="43">
        <f>F71</f>
        <v>2825.6695346214137</v>
      </c>
      <c r="C94" s="295">
        <f>B94/$B$96</f>
        <v>3.698585145235371E-2</v>
      </c>
    </row>
    <row r="95" spans="1:11" x14ac:dyDescent="0.2">
      <c r="A95" s="40" t="s">
        <v>261</v>
      </c>
      <c r="B95" s="114">
        <f>B96-B93-B94</f>
        <v>46194.591674017422</v>
      </c>
      <c r="C95" s="424">
        <f>B95/$B$96</f>
        <v>0.60465184786240644</v>
      </c>
    </row>
    <row r="96" spans="1:11" x14ac:dyDescent="0.2">
      <c r="A96" s="1" t="str">
        <f>A73</f>
        <v>Produktionskosten pro ha</v>
      </c>
      <c r="B96" s="199">
        <f>F73</f>
        <v>76398.661208638834</v>
      </c>
      <c r="C96" s="295">
        <f>SUM(C93:C95)</f>
        <v>1</v>
      </c>
      <c r="D96" s="12"/>
    </row>
    <row r="97" spans="1:11" x14ac:dyDescent="0.2">
      <c r="A97" s="1"/>
      <c r="B97" s="1"/>
      <c r="C97" s="1"/>
      <c r="F97" s="47"/>
    </row>
    <row r="98" spans="1:11" x14ac:dyDescent="0.2">
      <c r="A98" s="1"/>
      <c r="F98" s="47"/>
    </row>
    <row r="99" spans="1:11" s="243" customFormat="1" ht="30.75" customHeight="1" x14ac:dyDescent="0.2">
      <c r="A99" s="391" t="s">
        <v>314</v>
      </c>
      <c r="B99" s="255" t="s">
        <v>79</v>
      </c>
      <c r="C99" s="292" t="s">
        <v>325</v>
      </c>
      <c r="D99" s="293"/>
      <c r="J99" s="255"/>
      <c r="K99" s="290"/>
    </row>
    <row r="100" spans="1:11" x14ac:dyDescent="0.2">
      <c r="A100" s="97" t="str">
        <f>B69</f>
        <v>für Boden</v>
      </c>
      <c r="B100" s="43">
        <f>F69</f>
        <v>660</v>
      </c>
      <c r="C100" s="232">
        <f>B100/$B$102</f>
        <v>0.23357296099680938</v>
      </c>
    </row>
    <row r="101" spans="1:11" x14ac:dyDescent="0.2">
      <c r="A101" s="392" t="str">
        <f>B70</f>
        <v xml:space="preserve">für Investition Kirschenanlage </v>
      </c>
      <c r="B101" s="114">
        <f>F70</f>
        <v>2165.6695346214137</v>
      </c>
      <c r="C101" s="425">
        <f>B101/$B$102</f>
        <v>0.76642703900319065</v>
      </c>
    </row>
    <row r="102" spans="1:11" x14ac:dyDescent="0.2">
      <c r="A102" s="312" t="s">
        <v>260</v>
      </c>
      <c r="B102" s="199">
        <f>SUM(B100:B101)</f>
        <v>2825.6695346214137</v>
      </c>
      <c r="C102" s="232">
        <f>SUM(C100:C101)</f>
        <v>1</v>
      </c>
    </row>
    <row r="103" spans="1:11" x14ac:dyDescent="0.2">
      <c r="A103" s="312"/>
      <c r="B103" s="43"/>
      <c r="C103" s="313"/>
    </row>
    <row r="104" spans="1:11" x14ac:dyDescent="0.2">
      <c r="A104" s="1"/>
    </row>
    <row r="105" spans="1:11" ht="26.25" customHeight="1" x14ac:dyDescent="0.2">
      <c r="A105" s="391" t="s">
        <v>262</v>
      </c>
      <c r="B105" s="255" t="s">
        <v>79</v>
      </c>
      <c r="C105" s="292" t="s">
        <v>325</v>
      </c>
    </row>
    <row r="106" spans="1:11" x14ac:dyDescent="0.2">
      <c r="A106" s="97" t="str">
        <f>B62</f>
        <v>Ernte (inkl. Sortieren ohne kalibrieren)</v>
      </c>
      <c r="B106" s="43">
        <f>F62</f>
        <v>18850</v>
      </c>
      <c r="C106" s="232">
        <f>B106/B116</f>
        <v>0.68849896268591293</v>
      </c>
    </row>
    <row r="107" spans="1:11" x14ac:dyDescent="0.2">
      <c r="A107" s="1" t="str">
        <f>B59</f>
        <v>Baumerziehung (Sommer + Winter)</v>
      </c>
      <c r="B107" s="43">
        <f>F59</f>
        <v>3270.0000000000005</v>
      </c>
      <c r="C107" s="105">
        <f>B107/B116</f>
        <v>0.11943722058264911</v>
      </c>
    </row>
    <row r="108" spans="1:11" x14ac:dyDescent="0.2">
      <c r="A108" s="387" t="str">
        <f>B61</f>
        <v>Behangsregulierung</v>
      </c>
      <c r="B108" s="43">
        <f>F61</f>
        <v>0</v>
      </c>
      <c r="C108" s="105">
        <f>B108/B116</f>
        <v>0</v>
      </c>
    </row>
    <row r="109" spans="1:11" x14ac:dyDescent="0.2">
      <c r="A109" s="388" t="str">
        <f>B67</f>
        <v>Verwaltung + übrige Arbeiten</v>
      </c>
      <c r="B109" s="43">
        <f>F67</f>
        <v>2070</v>
      </c>
      <c r="C109" s="105">
        <f>B109/B116</f>
        <v>7.5607047891768683E-2</v>
      </c>
    </row>
    <row r="110" spans="1:11" x14ac:dyDescent="0.2">
      <c r="A110" s="388" t="str">
        <f>B63</f>
        <v>Regendachfolie:  Ausrollen + Einrollen</v>
      </c>
      <c r="B110" s="43">
        <f>F63</f>
        <v>904.80000000000007</v>
      </c>
      <c r="C110" s="105">
        <f>B110/B116</f>
        <v>3.3047950208923822E-2</v>
      </c>
    </row>
    <row r="111" spans="1:11" s="1" customFormat="1" x14ac:dyDescent="0.2">
      <c r="A111" s="1" t="s">
        <v>412</v>
      </c>
      <c r="B111" s="43">
        <f>F65</f>
        <v>452.40000000000003</v>
      </c>
      <c r="C111" s="105">
        <f>B111/B116</f>
        <v>1.6523975104461911E-2</v>
      </c>
      <c r="J111" s="45"/>
      <c r="K111" s="182"/>
    </row>
    <row r="112" spans="1:11" x14ac:dyDescent="0.2">
      <c r="A112" s="388" t="str">
        <f>B66</f>
        <v>Sprinkleranlage: Kontrolle, Spühlung</v>
      </c>
      <c r="B112" s="43">
        <f>F66</f>
        <v>457.80000000000007</v>
      </c>
      <c r="C112" s="105">
        <f>B112/B116</f>
        <v>1.6721210881570876E-2</v>
      </c>
    </row>
    <row r="113" spans="1:11" x14ac:dyDescent="0.2">
      <c r="A113" s="388" t="str">
        <f>B58</f>
        <v>Pflanzenschutz inkl. Kontrolle und Mausen</v>
      </c>
      <c r="B113" s="43">
        <f>F58</f>
        <v>1144.5</v>
      </c>
      <c r="C113" s="105">
        <f>B113/B116</f>
        <v>4.180302720392718E-2</v>
      </c>
    </row>
    <row r="114" spans="1:11" x14ac:dyDescent="0.2">
      <c r="A114" s="388" t="str">
        <f>B60</f>
        <v>Mulchen und Schnittholz hacken</v>
      </c>
      <c r="B114" s="43">
        <f>F60</f>
        <v>196.20000000000002</v>
      </c>
      <c r="C114" s="105">
        <f>B114/B116</f>
        <v>7.1662332349589457E-3</v>
      </c>
    </row>
    <row r="115" spans="1:11" x14ac:dyDescent="0.2">
      <c r="A115" s="389" t="str">
        <f>B57</f>
        <v>Düngung</v>
      </c>
      <c r="B115" s="114">
        <f>F57</f>
        <v>32.700000000000003</v>
      </c>
      <c r="C115" s="210">
        <f>B115/B116</f>
        <v>1.194372205826491E-3</v>
      </c>
    </row>
    <row r="116" spans="1:11" x14ac:dyDescent="0.2">
      <c r="A116" s="388" t="str">
        <f>A93</f>
        <v>Arbeitskosten</v>
      </c>
      <c r="B116" s="199">
        <f>SUM(B106:B115)</f>
        <v>27378.400000000001</v>
      </c>
      <c r="C116" s="105">
        <f>SUM(C106:C115)</f>
        <v>0.99999999999999989</v>
      </c>
    </row>
    <row r="117" spans="1:11" x14ac:dyDescent="0.2">
      <c r="A117" s="1"/>
      <c r="B117" s="1"/>
      <c r="C117" s="1"/>
    </row>
    <row r="118" spans="1:11" x14ac:dyDescent="0.2">
      <c r="A118" s="1"/>
    </row>
    <row r="119" spans="1:11" x14ac:dyDescent="0.2">
      <c r="A119" s="302" t="s">
        <v>263</v>
      </c>
      <c r="B119" s="255" t="s">
        <v>79</v>
      </c>
      <c r="C119" s="292" t="s">
        <v>325</v>
      </c>
    </row>
    <row r="120" spans="1:11" x14ac:dyDescent="0.2">
      <c r="A120" s="188" t="str">
        <f>A106</f>
        <v>Ernte (inkl. Sortieren ohne kalibrieren)</v>
      </c>
      <c r="B120" s="43">
        <f>B106</f>
        <v>18850</v>
      </c>
      <c r="C120" s="295">
        <f>B120/B123</f>
        <v>0.68849896268591293</v>
      </c>
    </row>
    <row r="121" spans="1:11" x14ac:dyDescent="0.2">
      <c r="A121" s="188" t="str">
        <f>A107</f>
        <v>Baumerziehung (Sommer + Winter)</v>
      </c>
      <c r="B121" s="43">
        <f>B107</f>
        <v>3270.0000000000005</v>
      </c>
      <c r="C121" s="295">
        <f>B121/B123</f>
        <v>0.11943722058264911</v>
      </c>
      <c r="F121" s="47"/>
    </row>
    <row r="122" spans="1:11" x14ac:dyDescent="0.2">
      <c r="A122" s="209" t="s">
        <v>264</v>
      </c>
      <c r="B122" s="114">
        <f>B108+B109+B110+B112+B113+B114+B115+B111</f>
        <v>5258.4</v>
      </c>
      <c r="C122" s="424">
        <f>B122/B123</f>
        <v>0.19206381673143791</v>
      </c>
      <c r="F122" s="47"/>
    </row>
    <row r="123" spans="1:11" s="243" customFormat="1" ht="18" customHeight="1" x14ac:dyDescent="0.2">
      <c r="A123" s="388" t="str">
        <f>A93</f>
        <v>Arbeitskosten</v>
      </c>
      <c r="B123" s="199">
        <f>SUM(B120:B122)</f>
        <v>27378.400000000001</v>
      </c>
      <c r="C123" s="295">
        <f>SUM(C120:C122)</f>
        <v>1</v>
      </c>
      <c r="D123" s="293"/>
      <c r="E123" s="293"/>
      <c r="F123" s="264"/>
      <c r="J123" s="255"/>
      <c r="K123" s="290"/>
    </row>
    <row r="124" spans="1:11" x14ac:dyDescent="0.2">
      <c r="A124" s="1"/>
      <c r="B124" s="1"/>
      <c r="C124" s="1"/>
      <c r="D124" s="294"/>
      <c r="E124" s="43"/>
      <c r="F124" s="295"/>
    </row>
    <row r="125" spans="1:11" x14ac:dyDescent="0.2">
      <c r="A125" s="1"/>
    </row>
    <row r="126" spans="1:11" x14ac:dyDescent="0.2">
      <c r="A126" s="302" t="s">
        <v>265</v>
      </c>
      <c r="B126" s="255" t="s">
        <v>79</v>
      </c>
      <c r="C126" s="289" t="s">
        <v>315</v>
      </c>
    </row>
    <row r="127" spans="1:11" ht="51" x14ac:dyDescent="0.2">
      <c r="A127" s="390" t="str">
        <f>A29</f>
        <v>Abschreibung Kirschenanlage (inkl. Regendach mit 1x Folie, Einnetzung 1x, optionalem Hagelnetz und Bewässerungsanlage)</v>
      </c>
      <c r="B127" s="426">
        <f>F32</f>
        <v>20052.49569093902</v>
      </c>
      <c r="C127" s="427">
        <f>B127/B130</f>
        <v>0.43408751899884707</v>
      </c>
    </row>
    <row r="128" spans="1:11" x14ac:dyDescent="0.2">
      <c r="A128" s="1" t="str">
        <f>A40</f>
        <v>Maschinen und Geräte</v>
      </c>
      <c r="B128" s="43">
        <f>F55</f>
        <v>10932.607692307693</v>
      </c>
      <c r="C128" s="295">
        <f>B128/B130</f>
        <v>0.23666423484065213</v>
      </c>
    </row>
    <row r="129" spans="1:14" x14ac:dyDescent="0.2">
      <c r="A129" s="209" t="s">
        <v>266</v>
      </c>
      <c r="B129" s="114">
        <f>B96-B102-B116-B127-B128</f>
        <v>15209.488290770709</v>
      </c>
      <c r="C129" s="424">
        <f>B129/B130</f>
        <v>0.3292482461605008</v>
      </c>
    </row>
    <row r="130" spans="1:14" s="243" customFormat="1" ht="18" customHeight="1" x14ac:dyDescent="0.2">
      <c r="A130" s="1" t="str">
        <f>A95</f>
        <v>Sachkosten</v>
      </c>
      <c r="B130" s="199">
        <f>SUM(B127:B129)</f>
        <v>46194.591674017422</v>
      </c>
      <c r="C130" s="295">
        <f>SUM(C127:C129)</f>
        <v>1</v>
      </c>
      <c r="J130" s="255"/>
      <c r="K130" s="290"/>
    </row>
    <row r="131" spans="1:14" x14ac:dyDescent="0.2">
      <c r="A131" s="1"/>
    </row>
    <row r="132" spans="1:14" x14ac:dyDescent="0.2">
      <c r="A132" s="1"/>
    </row>
    <row r="133" spans="1:14" ht="25.5" x14ac:dyDescent="0.2">
      <c r="A133" s="391" t="s">
        <v>267</v>
      </c>
      <c r="B133" s="255" t="s">
        <v>79</v>
      </c>
      <c r="C133" s="289" t="s">
        <v>259</v>
      </c>
    </row>
    <row r="134" spans="1:14" x14ac:dyDescent="0.2">
      <c r="A134" s="1" t="str">
        <f>A37</f>
        <v>Total Direktkosten</v>
      </c>
      <c r="B134" s="43">
        <f>F37</f>
        <v>34811.983981709724</v>
      </c>
      <c r="C134" s="295">
        <f>B134/B136</f>
        <v>0.45566222537121281</v>
      </c>
      <c r="J134"/>
      <c r="K134"/>
      <c r="M134" s="12"/>
      <c r="N134" s="19"/>
    </row>
    <row r="135" spans="1:14" x14ac:dyDescent="0.2">
      <c r="A135" s="209" t="str">
        <f>A72</f>
        <v>Total Strukturkosten</v>
      </c>
      <c r="B135" s="114">
        <f>F72</f>
        <v>41586.67722692911</v>
      </c>
      <c r="C135" s="424">
        <f>B135/B136</f>
        <v>0.54433777462878719</v>
      </c>
      <c r="J135"/>
      <c r="K135"/>
      <c r="M135" s="12"/>
      <c r="N135" s="19"/>
    </row>
    <row r="136" spans="1:14" x14ac:dyDescent="0.2">
      <c r="A136" s="1" t="str">
        <f>A73</f>
        <v>Produktionskosten pro ha</v>
      </c>
      <c r="B136" s="199">
        <f>SUM(B134:B135)</f>
        <v>76398.661208638834</v>
      </c>
      <c r="C136" s="295">
        <f>SUM(C134:C135)</f>
        <v>1</v>
      </c>
      <c r="J136"/>
      <c r="K136"/>
      <c r="M136" s="12"/>
      <c r="N136" s="19"/>
    </row>
    <row r="137" spans="1:14" x14ac:dyDescent="0.2">
      <c r="B137" s="1"/>
      <c r="C137" s="1"/>
      <c r="J137"/>
      <c r="K137"/>
      <c r="M137" s="12"/>
      <c r="N137" s="19"/>
    </row>
    <row r="138" spans="1:14" x14ac:dyDescent="0.2">
      <c r="J138"/>
      <c r="K138"/>
      <c r="M138" s="12"/>
      <c r="N138" s="19"/>
    </row>
    <row r="139" spans="1:14" ht="18" x14ac:dyDescent="0.25">
      <c r="A139" s="457" t="s">
        <v>316</v>
      </c>
      <c r="B139" s="367"/>
      <c r="C139" s="367"/>
      <c r="J139"/>
      <c r="K139"/>
      <c r="M139" s="12"/>
      <c r="N139" s="19"/>
    </row>
    <row r="140" spans="1:14" x14ac:dyDescent="0.2">
      <c r="B140" s="255" t="s">
        <v>79</v>
      </c>
      <c r="C140" s="289" t="s">
        <v>259</v>
      </c>
      <c r="J140"/>
      <c r="K140"/>
      <c r="M140" s="12"/>
      <c r="N140" s="19"/>
    </row>
    <row r="141" spans="1:14" x14ac:dyDescent="0.2">
      <c r="A141" s="62" t="s">
        <v>317</v>
      </c>
      <c r="B141" s="1"/>
      <c r="J141"/>
      <c r="K141"/>
      <c r="M141" s="12"/>
      <c r="N141" s="19"/>
    </row>
    <row r="142" spans="1:14" x14ac:dyDescent="0.2">
      <c r="A142" s="69" t="s">
        <v>124</v>
      </c>
      <c r="B142" s="199">
        <f>F21</f>
        <v>1860.2999999999997</v>
      </c>
      <c r="C142" s="63">
        <f>B142/$F$73</f>
        <v>2.43499031340309E-2</v>
      </c>
      <c r="J142"/>
      <c r="K142"/>
      <c r="M142" s="12"/>
      <c r="N142" s="19"/>
    </row>
    <row r="143" spans="1:14" x14ac:dyDescent="0.2">
      <c r="B143" s="43"/>
      <c r="C143" s="63"/>
      <c r="J143"/>
      <c r="K143"/>
      <c r="M143" s="12"/>
      <c r="N143" s="19"/>
    </row>
    <row r="144" spans="1:14" x14ac:dyDescent="0.2">
      <c r="A144" s="62" t="s">
        <v>27</v>
      </c>
      <c r="B144" s="45"/>
      <c r="C144" s="63"/>
      <c r="J144"/>
      <c r="K144"/>
      <c r="M144" s="12"/>
      <c r="N144" s="19"/>
    </row>
    <row r="145" spans="1:14" x14ac:dyDescent="0.2">
      <c r="A145" s="1" t="s">
        <v>563</v>
      </c>
      <c r="B145" s="43">
        <f>F40</f>
        <v>185</v>
      </c>
      <c r="C145" s="314">
        <f>B145/$F$73</f>
        <v>2.4215084017608544E-3</v>
      </c>
      <c r="J145"/>
      <c r="K145"/>
      <c r="M145" s="12"/>
      <c r="N145" s="19"/>
    </row>
    <row r="146" spans="1:14" x14ac:dyDescent="0.2">
      <c r="A146" s="1" t="s">
        <v>564</v>
      </c>
      <c r="B146" s="43">
        <f>F43</f>
        <v>390</v>
      </c>
      <c r="C146" s="314"/>
      <c r="J146"/>
      <c r="K146"/>
      <c r="M146" s="12"/>
      <c r="N146" s="19"/>
    </row>
    <row r="147" spans="1:14" x14ac:dyDescent="0.2">
      <c r="A147" s="1" t="s">
        <v>565</v>
      </c>
      <c r="B147" s="43">
        <f>F44</f>
        <v>152</v>
      </c>
      <c r="C147" s="314">
        <f>B147/$F$73</f>
        <v>1.9895636598251344E-3</v>
      </c>
      <c r="J147"/>
      <c r="K147"/>
      <c r="M147" s="12"/>
      <c r="N147" s="19"/>
    </row>
    <row r="148" spans="1:14" x14ac:dyDescent="0.2">
      <c r="A148" s="1" t="s">
        <v>28</v>
      </c>
      <c r="B148" s="428">
        <f>((C40*D40)+(C43*D43+C44*D44))*E51</f>
        <v>615</v>
      </c>
      <c r="C148" s="315">
        <f>B148/$F$73</f>
        <v>8.049879281529327E-3</v>
      </c>
      <c r="J148"/>
      <c r="K148"/>
      <c r="M148" s="12"/>
      <c r="N148" s="19"/>
    </row>
    <row r="149" spans="1:14" x14ac:dyDescent="0.2">
      <c r="A149" s="1"/>
      <c r="B149" s="199">
        <f>SUM(B145:B148)</f>
        <v>1342</v>
      </c>
      <c r="C149" s="63">
        <f>SUM(C145:C148)</f>
        <v>1.2460951343115315E-2</v>
      </c>
      <c r="J149"/>
      <c r="K149"/>
      <c r="M149" s="12"/>
      <c r="N149" s="19"/>
    </row>
    <row r="150" spans="1:14" x14ac:dyDescent="0.2">
      <c r="A150" s="1"/>
      <c r="B150" s="45"/>
      <c r="C150" s="63"/>
      <c r="J150"/>
      <c r="K150"/>
      <c r="M150" s="12"/>
      <c r="N150" s="19"/>
    </row>
    <row r="151" spans="1:14" x14ac:dyDescent="0.2">
      <c r="A151" s="104" t="s">
        <v>32</v>
      </c>
      <c r="B151" s="45"/>
      <c r="C151" s="63"/>
      <c r="J151"/>
      <c r="K151"/>
      <c r="M151" s="12"/>
      <c r="N151" s="19"/>
    </row>
    <row r="152" spans="1:14" x14ac:dyDescent="0.2">
      <c r="A152" s="24" t="s">
        <v>203</v>
      </c>
      <c r="B152" s="117">
        <f>F58</f>
        <v>1144.5</v>
      </c>
      <c r="C152" s="63">
        <f>B152/$F$73</f>
        <v>1.4980629004407015E-2</v>
      </c>
      <c r="J152"/>
      <c r="K152"/>
      <c r="M152" s="12"/>
      <c r="N152" s="19"/>
    </row>
    <row r="153" spans="1:14" x14ac:dyDescent="0.2">
      <c r="A153" s="1"/>
      <c r="B153" s="1"/>
      <c r="C153" s="63"/>
      <c r="J153"/>
      <c r="K153"/>
      <c r="M153" s="12"/>
      <c r="N153" s="19"/>
    </row>
    <row r="154" spans="1:14" x14ac:dyDescent="0.2">
      <c r="A154" s="104" t="s">
        <v>318</v>
      </c>
      <c r="B154" s="199">
        <f>B142+B149+B152</f>
        <v>4346.7999999999993</v>
      </c>
      <c r="C154" s="309">
        <f>B154/$F$73</f>
        <v>5.6896284977157187E-2</v>
      </c>
      <c r="J154"/>
      <c r="K154"/>
      <c r="M154" s="12"/>
      <c r="N154" s="19"/>
    </row>
    <row r="155" spans="1:14" x14ac:dyDescent="0.2">
      <c r="A155" t="s">
        <v>319</v>
      </c>
      <c r="B155" s="43">
        <f>F73-B154</f>
        <v>72051.861208638831</v>
      </c>
      <c r="C155" s="63">
        <f>B155/$F$73</f>
        <v>0.94310371502284274</v>
      </c>
      <c r="J155"/>
      <c r="K155"/>
      <c r="M155" s="12"/>
      <c r="N155" s="19"/>
    </row>
    <row r="156" spans="1:14" x14ac:dyDescent="0.2">
      <c r="B156" s="1"/>
      <c r="J156"/>
      <c r="K156"/>
      <c r="M156" s="12"/>
      <c r="N156" s="19"/>
    </row>
    <row r="157" spans="1:14" ht="29.25" customHeight="1" x14ac:dyDescent="0.2">
      <c r="A157" s="62" t="s">
        <v>320</v>
      </c>
      <c r="B157" s="264"/>
      <c r="C157" s="316" t="s">
        <v>321</v>
      </c>
      <c r="J157"/>
      <c r="K157"/>
      <c r="M157" s="12"/>
      <c r="N157" s="19"/>
    </row>
    <row r="158" spans="1:14" x14ac:dyDescent="0.2">
      <c r="A158" t="s">
        <v>317</v>
      </c>
      <c r="B158" s="43">
        <f>B142</f>
        <v>1860.2999999999997</v>
      </c>
      <c r="C158" s="63">
        <f>B158/$B$161</f>
        <v>0.4279700009202172</v>
      </c>
      <c r="J158"/>
      <c r="K158"/>
      <c r="M158" s="12"/>
      <c r="N158" s="19"/>
    </row>
    <row r="159" spans="1:14" x14ac:dyDescent="0.2">
      <c r="A159" t="s">
        <v>27</v>
      </c>
      <c r="B159" s="43">
        <f>B149</f>
        <v>1342</v>
      </c>
      <c r="C159" s="63">
        <f>B159/$B$161</f>
        <v>0.30873286095518548</v>
      </c>
      <c r="J159"/>
      <c r="K159"/>
      <c r="M159" s="12"/>
      <c r="N159" s="19"/>
    </row>
    <row r="160" spans="1:14" x14ac:dyDescent="0.2">
      <c r="A160" s="40" t="s">
        <v>32</v>
      </c>
      <c r="B160" s="114">
        <f>B152</f>
        <v>1144.5</v>
      </c>
      <c r="C160" s="308">
        <f>B160/$B$161</f>
        <v>0.26329713812459743</v>
      </c>
      <c r="J160"/>
      <c r="K160"/>
      <c r="M160" s="12"/>
      <c r="N160" s="19"/>
    </row>
    <row r="161" spans="1:14" ht="25.5" x14ac:dyDescent="0.2">
      <c r="A161" s="291" t="s">
        <v>389</v>
      </c>
      <c r="B161" s="301">
        <f>SUM(B158:B160)</f>
        <v>4346.7999999999993</v>
      </c>
      <c r="C161" s="63">
        <f>B161/$B$154</f>
        <v>1</v>
      </c>
      <c r="J161"/>
      <c r="K161"/>
      <c r="M161" s="12"/>
      <c r="N161" s="19"/>
    </row>
    <row r="162" spans="1:14" x14ac:dyDescent="0.2">
      <c r="B162" s="1"/>
      <c r="J162"/>
      <c r="K162"/>
      <c r="M162" s="12"/>
      <c r="N162" s="19"/>
    </row>
    <row r="163" spans="1:14" x14ac:dyDescent="0.2">
      <c r="J163"/>
      <c r="K163"/>
      <c r="M163" s="12"/>
      <c r="N163" s="19"/>
    </row>
    <row r="164" spans="1:14" ht="18" x14ac:dyDescent="0.25">
      <c r="A164" s="457" t="s">
        <v>322</v>
      </c>
      <c r="B164" s="367"/>
      <c r="C164" s="367"/>
      <c r="J164"/>
      <c r="K164"/>
      <c r="M164" s="12"/>
      <c r="N164" s="19"/>
    </row>
    <row r="165" spans="1:14" x14ac:dyDescent="0.2">
      <c r="B165" s="255" t="s">
        <v>79</v>
      </c>
      <c r="C165" s="289" t="s">
        <v>259</v>
      </c>
      <c r="J165"/>
      <c r="K165"/>
      <c r="M165" s="12"/>
      <c r="N165" s="19"/>
    </row>
    <row r="166" spans="1:14" x14ac:dyDescent="0.2">
      <c r="A166" t="s">
        <v>27</v>
      </c>
      <c r="B166" s="1"/>
      <c r="J166"/>
      <c r="K166"/>
      <c r="M166" s="12"/>
      <c r="N166" s="19"/>
    </row>
    <row r="167" spans="1:14" x14ac:dyDescent="0.2">
      <c r="A167" s="69" t="str">
        <f>B45</f>
        <v>Pneuwagen 2achsig, 3t (Ernte)</v>
      </c>
      <c r="B167" s="43">
        <f>F45</f>
        <v>2083.3333333333335</v>
      </c>
      <c r="C167" s="63">
        <f>B167/$F$73</f>
        <v>2.7269238758568182E-2</v>
      </c>
      <c r="J167"/>
      <c r="K167"/>
      <c r="M167" s="12"/>
      <c r="N167" s="19"/>
    </row>
    <row r="168" spans="1:14" x14ac:dyDescent="0.2">
      <c r="A168" s="69" t="s">
        <v>28</v>
      </c>
      <c r="B168" s="170">
        <f>D45*E51</f>
        <v>3416.666666666667</v>
      </c>
      <c r="C168" s="63">
        <f>B168/$F$73</f>
        <v>4.4721551564051817E-2</v>
      </c>
      <c r="J168"/>
      <c r="K168"/>
      <c r="M168" s="12"/>
      <c r="N168" s="19"/>
    </row>
    <row r="169" spans="1:14" x14ac:dyDescent="0.2">
      <c r="A169" t="s">
        <v>32</v>
      </c>
      <c r="B169" s="45"/>
      <c r="C169" s="63"/>
      <c r="J169"/>
      <c r="K169"/>
      <c r="M169" s="12"/>
      <c r="N169" s="19"/>
    </row>
    <row r="170" spans="1:14" x14ac:dyDescent="0.2">
      <c r="A170" s="310" t="str">
        <f>B62</f>
        <v>Ernte (inkl. Sortieren ohne kalibrieren)</v>
      </c>
      <c r="B170" s="59">
        <f>F62</f>
        <v>18850</v>
      </c>
      <c r="C170" s="63">
        <f>B170/$F$73</f>
        <v>0.24673207228752489</v>
      </c>
      <c r="J170"/>
      <c r="K170"/>
      <c r="M170" s="12"/>
      <c r="N170" s="19"/>
    </row>
    <row r="171" spans="1:14" x14ac:dyDescent="0.2">
      <c r="A171" s="311"/>
      <c r="B171" s="114"/>
      <c r="C171" s="308"/>
      <c r="J171"/>
      <c r="K171"/>
      <c r="M171" s="12"/>
      <c r="N171" s="19"/>
    </row>
    <row r="172" spans="1:14" x14ac:dyDescent="0.2">
      <c r="A172" s="62" t="s">
        <v>323</v>
      </c>
      <c r="B172" s="199">
        <f>B167+B168+B170</f>
        <v>24350</v>
      </c>
      <c r="C172" s="63">
        <f>B172/$F$73</f>
        <v>0.31872286261014487</v>
      </c>
      <c r="J172"/>
      <c r="K172"/>
      <c r="M172" s="12"/>
      <c r="N172" s="19"/>
    </row>
    <row r="173" spans="1:14" x14ac:dyDescent="0.2">
      <c r="A173" t="s">
        <v>319</v>
      </c>
      <c r="B173" s="43">
        <f>F73-B172</f>
        <v>52048.661208638834</v>
      </c>
      <c r="C173" s="63">
        <f>B173/$F$73</f>
        <v>0.68127713738985507</v>
      </c>
      <c r="J173"/>
      <c r="K173"/>
      <c r="M173" s="12"/>
      <c r="N173" s="19"/>
    </row>
    <row r="174" spans="1:14" x14ac:dyDescent="0.2">
      <c r="B174" s="1"/>
      <c r="J174"/>
      <c r="K174"/>
      <c r="M174" s="12"/>
      <c r="N174" s="19"/>
    </row>
    <row r="175" spans="1:14" x14ac:dyDescent="0.2">
      <c r="A175" s="62" t="s">
        <v>320</v>
      </c>
      <c r="B175" s="264"/>
      <c r="C175" s="289" t="s">
        <v>324</v>
      </c>
      <c r="J175"/>
      <c r="K175"/>
      <c r="M175" s="12"/>
      <c r="N175" s="19"/>
    </row>
    <row r="176" spans="1:14" x14ac:dyDescent="0.2">
      <c r="A176" t="s">
        <v>27</v>
      </c>
      <c r="B176" s="43">
        <f>B167+B168</f>
        <v>5500</v>
      </c>
      <c r="C176" s="63">
        <f>B176/$B$178</f>
        <v>0.22587268993839835</v>
      </c>
      <c r="J176"/>
      <c r="K176"/>
      <c r="M176" s="12"/>
      <c r="N176" s="19"/>
    </row>
    <row r="177" spans="1:14" x14ac:dyDescent="0.2">
      <c r="A177" s="40" t="s">
        <v>32</v>
      </c>
      <c r="B177" s="114">
        <f>B170</f>
        <v>18850</v>
      </c>
      <c r="C177" s="308">
        <f>B177/$B$178</f>
        <v>0.77412731006160163</v>
      </c>
      <c r="J177"/>
      <c r="K177"/>
      <c r="M177" s="12"/>
      <c r="N177" s="19"/>
    </row>
    <row r="178" spans="1:14" x14ac:dyDescent="0.2">
      <c r="A178" t="s">
        <v>323</v>
      </c>
      <c r="B178" s="199">
        <f>SUM(B176:B177)</f>
        <v>24350</v>
      </c>
      <c r="C178" s="63">
        <f>SUM(C176:C177)</f>
        <v>1</v>
      </c>
      <c r="J178"/>
      <c r="K178"/>
      <c r="M178" s="12"/>
      <c r="N178" s="19"/>
    </row>
    <row r="179" spans="1:14" x14ac:dyDescent="0.2">
      <c r="B179" s="1"/>
    </row>
  </sheetData>
  <mergeCells count="2">
    <mergeCell ref="B82:E82"/>
    <mergeCell ref="A52:A53"/>
  </mergeCells>
  <phoneticPr fontId="25" type="noConversion"/>
  <printOptions gridLines="1" gridLinesSet="0"/>
  <pageMargins left="0.39370078740157483" right="0.39370078740157483" top="0.39370078740157483" bottom="0.39370078740157483" header="0.51181102362204722" footer="0.51181102362204722"/>
  <pageSetup paperSize="9" scale="65" orientation="portrait" r:id="rId1"/>
  <headerFooter alignWithMargins="0">
    <oddFooter>&amp;L&amp;6&amp;F&amp;C&amp;6&amp;A &amp;R&amp;6Kontakt: matthias.zuercher@faw.admin.ch</oddFooter>
  </headerFooter>
  <ignoredErrors>
    <ignoredError sqref="K48" formula="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tandardCashflow">
    <tabColor rgb="FF00359E"/>
  </sheetPr>
  <dimension ref="A1:O54"/>
  <sheetViews>
    <sheetView zoomScale="90" zoomScaleNormal="90" workbookViewId="0">
      <selection activeCell="L11" sqref="L11"/>
    </sheetView>
  </sheetViews>
  <sheetFormatPr baseColWidth="10" defaultColWidth="11.42578125" defaultRowHeight="12.75" x14ac:dyDescent="0.2"/>
  <cols>
    <col min="1" max="1" width="33.7109375" customWidth="1"/>
    <col min="2" max="2" width="5.7109375" customWidth="1"/>
    <col min="3" max="3" width="21.7109375" customWidth="1"/>
    <col min="4" max="4" width="18.28515625" customWidth="1"/>
    <col min="5" max="5" width="20.7109375" customWidth="1"/>
    <col min="6" max="6" width="15.28515625" customWidth="1"/>
    <col min="7" max="7" width="15.7109375" bestFit="1" customWidth="1"/>
    <col min="8" max="8" width="12.7109375" customWidth="1"/>
    <col min="9" max="9" width="13.5703125" customWidth="1"/>
    <col min="10" max="10" width="13.7109375" customWidth="1"/>
    <col min="11" max="11" width="14.85546875" customWidth="1"/>
  </cols>
  <sheetData>
    <row r="1" spans="1:10" ht="42.75" customHeight="1" x14ac:dyDescent="0.4">
      <c r="A1" s="346" t="str">
        <f>'Standard Vorgaben'!A1</f>
        <v>Arbokost 2024</v>
      </c>
      <c r="B1" s="575"/>
      <c r="C1" s="576" t="str">
        <f>'Standard Erstellung'!B1</f>
        <v>Tafelkirsche</v>
      </c>
      <c r="D1" s="328"/>
      <c r="E1" s="328"/>
      <c r="F1" s="328"/>
      <c r="G1" s="577"/>
      <c r="H1" s="328"/>
      <c r="I1" s="328"/>
      <c r="J1" s="328"/>
    </row>
    <row r="2" spans="1:10" ht="21.75" customHeight="1" x14ac:dyDescent="0.25">
      <c r="A2" s="265" t="str">
        <f>'Standard Vorgaben'!$A$2</f>
        <v>Standard 1ha</v>
      </c>
      <c r="B2" s="328"/>
      <c r="C2" s="578">
        <f>'Standard Erstellung'!E16</f>
        <v>900</v>
      </c>
      <c r="D2" s="328"/>
      <c r="E2" s="328"/>
      <c r="F2" s="328"/>
      <c r="G2" s="328"/>
      <c r="H2" s="328"/>
      <c r="I2" s="328"/>
      <c r="J2" s="328"/>
    </row>
    <row r="3" spans="1:10" ht="24" customHeight="1" x14ac:dyDescent="0.25">
      <c r="B3" s="579"/>
      <c r="C3" s="328"/>
      <c r="D3" s="580"/>
      <c r="E3" s="578"/>
      <c r="F3" s="581"/>
      <c r="G3" s="328"/>
      <c r="H3" s="328"/>
      <c r="I3" s="328"/>
      <c r="J3" s="328"/>
    </row>
    <row r="4" spans="1:10" s="1" customFormat="1" ht="23.25" x14ac:dyDescent="0.35">
      <c r="A4" s="558" t="s">
        <v>361</v>
      </c>
      <c r="B4" s="559"/>
      <c r="C4" s="560"/>
      <c r="D4" s="560"/>
      <c r="E4" s="560"/>
      <c r="F4" s="565"/>
      <c r="G4" s="565"/>
      <c r="H4" s="565"/>
      <c r="I4" s="485"/>
      <c r="J4" s="485"/>
    </row>
    <row r="5" spans="1:10" s="1" customFormat="1" ht="20.25" x14ac:dyDescent="0.3">
      <c r="A5" s="128"/>
      <c r="B5" s="72"/>
      <c r="F5" s="396"/>
      <c r="G5" s="396"/>
      <c r="H5" s="396"/>
    </row>
    <row r="6" spans="1:10" s="1" customFormat="1" ht="20.25" x14ac:dyDescent="0.3">
      <c r="A6" s="128"/>
      <c r="B6" s="72"/>
      <c r="G6" s="129"/>
    </row>
    <row r="7" spans="1:10" s="1" customFormat="1" ht="20.25" x14ac:dyDescent="0.3">
      <c r="A7" s="128"/>
      <c r="B7" s="72"/>
      <c r="G7" s="129"/>
    </row>
    <row r="8" spans="1:10" s="1" customFormat="1" ht="20.25" x14ac:dyDescent="0.3">
      <c r="A8" s="128"/>
      <c r="B8" s="72"/>
      <c r="G8" s="129"/>
    </row>
    <row r="9" spans="1:10" s="1" customFormat="1" ht="20.25" x14ac:dyDescent="0.3">
      <c r="A9" s="128"/>
      <c r="B9" s="72"/>
      <c r="G9" s="129"/>
    </row>
    <row r="10" spans="1:10" s="1" customFormat="1" ht="20.25" x14ac:dyDescent="0.3">
      <c r="A10" s="128"/>
      <c r="B10" s="72"/>
      <c r="G10" s="129"/>
    </row>
    <row r="11" spans="1:10" s="1" customFormat="1" ht="20.25" x14ac:dyDescent="0.3">
      <c r="A11" s="128"/>
      <c r="B11" s="72"/>
      <c r="G11" s="129"/>
    </row>
    <row r="12" spans="1:10" s="1" customFormat="1" ht="20.25" x14ac:dyDescent="0.3">
      <c r="A12" s="128"/>
      <c r="B12" s="72"/>
      <c r="G12" s="129"/>
    </row>
    <row r="13" spans="1:10" s="1" customFormat="1" ht="20.25" x14ac:dyDescent="0.3">
      <c r="A13" s="128"/>
      <c r="B13" s="72"/>
      <c r="G13" s="129"/>
    </row>
    <row r="14" spans="1:10" s="1" customFormat="1" ht="20.25" x14ac:dyDescent="0.3">
      <c r="A14" s="128"/>
      <c r="B14" s="72"/>
      <c r="G14" s="129"/>
    </row>
    <row r="15" spans="1:10" s="1" customFormat="1" ht="20.25" x14ac:dyDescent="0.3">
      <c r="A15" s="128"/>
      <c r="B15" s="72"/>
      <c r="G15" s="129"/>
    </row>
    <row r="16" spans="1:10" s="1" customFormat="1" ht="20.25" x14ac:dyDescent="0.3">
      <c r="A16" s="128"/>
      <c r="B16" s="72"/>
      <c r="G16" s="129"/>
    </row>
    <row r="17" spans="1:15" s="1" customFormat="1" ht="20.25" x14ac:dyDescent="0.3">
      <c r="A17" s="128"/>
      <c r="B17" s="72"/>
      <c r="G17" s="129"/>
    </row>
    <row r="18" spans="1:15" s="1" customFormat="1" ht="20.25" x14ac:dyDescent="0.3">
      <c r="A18" s="72"/>
      <c r="B18" s="72"/>
      <c r="G18" s="129"/>
    </row>
    <row r="19" spans="1:15" ht="126" customHeight="1" x14ac:dyDescent="0.3">
      <c r="A19" s="70"/>
      <c r="B19" s="70"/>
      <c r="G19" s="83"/>
    </row>
    <row r="20" spans="1:15" ht="12.75" customHeight="1" x14ac:dyDescent="0.3">
      <c r="A20" s="70"/>
      <c r="B20" s="70"/>
      <c r="G20" s="83"/>
    </row>
    <row r="21" spans="1:15" ht="25.5" customHeight="1" x14ac:dyDescent="0.3">
      <c r="A21" s="25" t="s">
        <v>365</v>
      </c>
      <c r="B21" s="70"/>
      <c r="E21" s="582" t="str">
        <f>'Standard 1.-16. Standjahr'!B8</f>
        <v xml:space="preserve"> 22+ mm</v>
      </c>
      <c r="F21" s="582" t="str">
        <f>'Standard 1.-16. Standjahr'!B9</f>
        <v xml:space="preserve"> Abgang</v>
      </c>
    </row>
    <row r="22" spans="1:15" ht="28.5" customHeight="1" x14ac:dyDescent="0.2">
      <c r="A22" s="3"/>
      <c r="B22" s="3"/>
      <c r="C22" s="1"/>
      <c r="D22" s="1"/>
      <c r="E22" s="61">
        <f>'Standard 1.-16. Standjahr'!E8</f>
        <v>8.1999999999999993</v>
      </c>
      <c r="F22" s="61">
        <f>'Standard 1.-16. Standjahr'!E9</f>
        <v>0</v>
      </c>
    </row>
    <row r="23" spans="1:15" ht="18.75" x14ac:dyDescent="0.3">
      <c r="A23" s="381"/>
      <c r="B23" s="3"/>
      <c r="C23" s="1"/>
      <c r="D23" s="386"/>
    </row>
    <row r="24" spans="1:15" ht="39.75" customHeight="1" x14ac:dyDescent="0.25">
      <c r="A24" s="787"/>
      <c r="B24" s="780"/>
      <c r="C24" s="766" t="s">
        <v>349</v>
      </c>
      <c r="D24" s="780"/>
      <c r="E24" s="780"/>
      <c r="F24" s="780"/>
      <c r="G24" s="780"/>
      <c r="H24" s="780"/>
      <c r="I24" s="780"/>
      <c r="J24" s="782"/>
    </row>
    <row r="25" spans="1:15" ht="20.25" customHeight="1" x14ac:dyDescent="0.25">
      <c r="A25" s="790"/>
      <c r="B25" s="783"/>
      <c r="C25" s="792" t="s">
        <v>79</v>
      </c>
      <c r="D25" s="788" t="s">
        <v>327</v>
      </c>
      <c r="E25" s="788" t="s">
        <v>90</v>
      </c>
      <c r="F25" s="788" t="s">
        <v>329</v>
      </c>
      <c r="G25" s="788" t="s">
        <v>328</v>
      </c>
      <c r="H25" s="788" t="s">
        <v>59</v>
      </c>
      <c r="I25" s="788" t="s">
        <v>80</v>
      </c>
      <c r="J25" s="789" t="s">
        <v>72</v>
      </c>
    </row>
    <row r="26" spans="1:15" ht="15" x14ac:dyDescent="0.25">
      <c r="A26" s="752" t="s">
        <v>81</v>
      </c>
      <c r="B26" s="740">
        <v>0</v>
      </c>
      <c r="C26" s="762">
        <f>'Standard 1.-16. Standjahr'!F76</f>
        <v>-90890.014449999988</v>
      </c>
      <c r="D26" s="741">
        <v>0</v>
      </c>
      <c r="E26" s="741">
        <f>C26*(-1)</f>
        <v>90890.014449999988</v>
      </c>
      <c r="F26" s="741">
        <f>D26-E26</f>
        <v>-90890.014449999988</v>
      </c>
      <c r="G26" s="742">
        <f>D26/E26</f>
        <v>0</v>
      </c>
      <c r="H26" s="741"/>
      <c r="I26" s="741"/>
      <c r="J26" s="743">
        <f>('Standard 1.-16. Standjahr'!F76)*(-1)</f>
        <v>90890.014449999988</v>
      </c>
      <c r="K26" s="8"/>
      <c r="L26" s="8"/>
      <c r="M26" s="8"/>
      <c r="N26" s="8"/>
      <c r="O26" s="47"/>
    </row>
    <row r="27" spans="1:15" ht="15" x14ac:dyDescent="0.25">
      <c r="A27" s="752" t="s">
        <v>82</v>
      </c>
      <c r="B27" s="740">
        <v>1</v>
      </c>
      <c r="C27" s="762">
        <f>'Standard 1.-16. Standjahr'!F77</f>
        <v>-100259.56031338332</v>
      </c>
      <c r="D27" s="741">
        <f>'Standard 1.-16. Standjahr'!F12</f>
        <v>2700</v>
      </c>
      <c r="E27" s="741">
        <f>'Standard 1.-16. Standjahr'!F73</f>
        <v>12069.545863383335</v>
      </c>
      <c r="F27" s="741">
        <f t="shared" ref="F27:F42" si="0">D27-E27</f>
        <v>-9369.545863383335</v>
      </c>
      <c r="G27" s="742">
        <f t="shared" ref="G27:G42" si="1">D27/E27</f>
        <v>0.22370352874595531</v>
      </c>
      <c r="H27" s="744">
        <f>'Standard 1.-16. Standjahr'!D10</f>
        <v>0</v>
      </c>
      <c r="I27" s="745">
        <f>H27/C2</f>
        <v>0</v>
      </c>
      <c r="J27" s="746">
        <f>'Standard 1.-16. Standjahr'!F78</f>
        <v>100259.56031338332</v>
      </c>
      <c r="K27" s="1"/>
      <c r="L27" s="1"/>
      <c r="M27" s="43"/>
      <c r="N27" s="43"/>
      <c r="O27" s="31"/>
    </row>
    <row r="28" spans="1:15" ht="15" x14ac:dyDescent="0.25">
      <c r="A28" s="752" t="s">
        <v>44</v>
      </c>
      <c r="B28" s="740">
        <v>2</v>
      </c>
      <c r="C28" s="762">
        <f>'Standard 1.-16. Standjahr'!M77</f>
        <v>-109760.93208953711</v>
      </c>
      <c r="D28" s="741">
        <f>'Standard 1.-16. Standjahr'!M12</f>
        <v>2700</v>
      </c>
      <c r="E28" s="741">
        <f>'Standard 1.-16. Standjahr'!M73</f>
        <v>12201.371776153783</v>
      </c>
      <c r="F28" s="741">
        <f t="shared" si="0"/>
        <v>-9501.3717761537828</v>
      </c>
      <c r="G28" s="742">
        <f t="shared" si="1"/>
        <v>0.22128659379733417</v>
      </c>
      <c r="H28" s="744">
        <f>'Standard 1.-16. Standjahr'!K10</f>
        <v>0</v>
      </c>
      <c r="I28" s="745">
        <f>H28/C2</f>
        <v>0</v>
      </c>
      <c r="J28" s="746">
        <f>'Standard 1.-16. Standjahr'!M78</f>
        <v>109760.93208953711</v>
      </c>
      <c r="K28" s="61"/>
      <c r="L28" s="61"/>
      <c r="M28" s="1"/>
      <c r="N28" s="1"/>
    </row>
    <row r="29" spans="1:15" ht="15" x14ac:dyDescent="0.25">
      <c r="A29" s="752" t="s">
        <v>45</v>
      </c>
      <c r="B29" s="755">
        <v>3</v>
      </c>
      <c r="C29" s="762">
        <f>'Standard 1.-16. Standjahr'!T77</f>
        <v>-184635.76350879166</v>
      </c>
      <c r="D29" s="741">
        <f>'Standard 1.-16. Standjahr'!T12</f>
        <v>10781.099999999999</v>
      </c>
      <c r="E29" s="741">
        <f>'Standard 1.-16. Standjahr'!T73</f>
        <v>85655.931419254557</v>
      </c>
      <c r="F29" s="741">
        <f t="shared" si="0"/>
        <v>-74874.831419254566</v>
      </c>
      <c r="G29" s="742">
        <f t="shared" si="1"/>
        <v>0.12586518903437574</v>
      </c>
      <c r="H29" s="744">
        <f>'Standard 1.-16. Standjahr'!R10</f>
        <v>1095</v>
      </c>
      <c r="I29" s="745">
        <f>H29/C2</f>
        <v>1.2166666666666666</v>
      </c>
      <c r="J29" s="746">
        <f>'Standard 1.-16. Standjahr'!T78</f>
        <v>184635.76350879166</v>
      </c>
      <c r="K29" s="164"/>
      <c r="L29" s="61"/>
      <c r="M29" s="1"/>
      <c r="N29" s="165"/>
    </row>
    <row r="30" spans="1:15" s="84" customFormat="1" ht="15" x14ac:dyDescent="0.25">
      <c r="A30" s="754" t="s">
        <v>46</v>
      </c>
      <c r="B30" s="755">
        <v>4</v>
      </c>
      <c r="C30" s="762">
        <f>'Standard 1.-16. Standjahr'!AA77</f>
        <v>-188625.62539126823</v>
      </c>
      <c r="D30" s="756">
        <f>'Standard 1.-16. Standjahr'!AA12</f>
        <v>29636.999999999996</v>
      </c>
      <c r="E30" s="756">
        <f>'Standard 1.-16. Standjahr'!AA73</f>
        <v>33626.861882476558</v>
      </c>
      <c r="F30" s="756">
        <f t="shared" si="0"/>
        <v>-3989.8618824765617</v>
      </c>
      <c r="G30" s="757">
        <f t="shared" si="1"/>
        <v>0.88134896748852631</v>
      </c>
      <c r="H30" s="758">
        <f>'Standard 1.-16. Standjahr'!Y10</f>
        <v>3650</v>
      </c>
      <c r="I30" s="759">
        <f>H30/C2</f>
        <v>4.0555555555555554</v>
      </c>
      <c r="J30" s="760">
        <f>'Standard 1.-16. Standjahr'!AA78</f>
        <v>188625.62539126823</v>
      </c>
      <c r="K30" s="761"/>
      <c r="L30" s="761"/>
      <c r="M30" s="97"/>
      <c r="N30" s="97"/>
    </row>
    <row r="31" spans="1:15" ht="15" x14ac:dyDescent="0.25">
      <c r="A31" s="752" t="s">
        <v>47</v>
      </c>
      <c r="B31" s="740">
        <v>5</v>
      </c>
      <c r="C31" s="762">
        <f>'Standard 1.-16. Standjahr'!AH77</f>
        <v>-167067.87717363582</v>
      </c>
      <c r="D31" s="741">
        <f>'Standard 1.-16. Standjahr'!AH12</f>
        <v>76500</v>
      </c>
      <c r="E31" s="741">
        <f>'Standard 1.-16. Standjahr'!AH73</f>
        <v>54942.251782367573</v>
      </c>
      <c r="F31" s="741">
        <f t="shared" si="0"/>
        <v>21557.748217632427</v>
      </c>
      <c r="G31" s="742">
        <f t="shared" si="1"/>
        <v>1.3923710353741068</v>
      </c>
      <c r="H31" s="744">
        <f>'Standard 1.-16. Standjahr'!AF10</f>
        <v>10000</v>
      </c>
      <c r="I31" s="745">
        <f>H31/C2</f>
        <v>11.111111111111111</v>
      </c>
      <c r="J31" s="746">
        <f>'Standard 1.-16. Standjahr'!AH78</f>
        <v>172906.8232753292</v>
      </c>
      <c r="K31" s="7"/>
      <c r="L31" s="1"/>
      <c r="M31" s="1"/>
      <c r="N31" s="1"/>
    </row>
    <row r="32" spans="1:15" ht="15" x14ac:dyDescent="0.25">
      <c r="A32" s="752" t="s">
        <v>48</v>
      </c>
      <c r="B32" s="740">
        <v>6</v>
      </c>
      <c r="C32" s="762">
        <f>'Standard 1.-16. Standjahr'!AO77</f>
        <v>-146790.68614512161</v>
      </c>
      <c r="D32" s="741">
        <f>'Standard 1.-16. Standjahr'!AO12</f>
        <v>76500</v>
      </c>
      <c r="E32" s="741">
        <f>'Standard 1.-16. Standjahr'!AO73</f>
        <v>56222.808971485792</v>
      </c>
      <c r="F32" s="741">
        <f t="shared" si="0"/>
        <v>20277.191028514208</v>
      </c>
      <c r="G32" s="742">
        <f t="shared" si="1"/>
        <v>1.3606577365922445</v>
      </c>
      <c r="H32" s="744">
        <f>'Standard 1.-16. Standjahr'!AM10</f>
        <v>10000</v>
      </c>
      <c r="I32" s="745">
        <f>H32/C2</f>
        <v>11.111111111111111</v>
      </c>
      <c r="J32" s="746">
        <f>'Standard 1.-16. Standjahr'!AO78</f>
        <v>157188.02115939016</v>
      </c>
      <c r="K32" s="1"/>
      <c r="L32" s="7"/>
      <c r="M32" s="1"/>
      <c r="N32" s="166"/>
    </row>
    <row r="33" spans="1:15" ht="15" x14ac:dyDescent="0.25">
      <c r="A33" s="752" t="s">
        <v>49</v>
      </c>
      <c r="B33" s="740">
        <v>7</v>
      </c>
      <c r="C33" s="762">
        <f>'Standard 1.-16. Standjahr'!AV77</f>
        <v>-124856.42347427388</v>
      </c>
      <c r="D33" s="741">
        <f>'Standard 1.-16. Standjahr'!AV12</f>
        <v>76500</v>
      </c>
      <c r="E33" s="741">
        <f>'Standard 1.-16. Standjahr'!AV73</f>
        <v>54565.737329152253</v>
      </c>
      <c r="F33" s="741">
        <f t="shared" si="0"/>
        <v>21934.262670847747</v>
      </c>
      <c r="G33" s="742">
        <f t="shared" si="1"/>
        <v>1.4019786727802386</v>
      </c>
      <c r="H33" s="744">
        <f>'Standard 1.-16. Standjahr'!AT10</f>
        <v>10000</v>
      </c>
      <c r="I33" s="745">
        <f>H33/C2</f>
        <v>11.111111111111111</v>
      </c>
      <c r="J33" s="746">
        <f>'Standard 1.-16. Standjahr'!AV78</f>
        <v>141469.21904345113</v>
      </c>
      <c r="K33" s="7"/>
      <c r="L33" s="7"/>
      <c r="M33" s="1"/>
      <c r="N33" s="1"/>
      <c r="O33" s="1"/>
    </row>
    <row r="34" spans="1:15" ht="15" x14ac:dyDescent="0.25">
      <c r="A34" s="752" t="s">
        <v>50</v>
      </c>
      <c r="B34" s="740">
        <v>8</v>
      </c>
      <c r="C34" s="762">
        <f>'Standard 1.-16. Standjahr'!BC77</f>
        <v>-102724.75243938848</v>
      </c>
      <c r="D34" s="741">
        <f>'Standard 1.-16. Standjahr'!BC12</f>
        <v>76500</v>
      </c>
      <c r="E34" s="741">
        <f>'Standard 1.-16. Standjahr'!BC73</f>
        <v>54368.328965114619</v>
      </c>
      <c r="F34" s="741">
        <f t="shared" si="0"/>
        <v>22131.671034885381</v>
      </c>
      <c r="G34" s="742">
        <f t="shared" si="1"/>
        <v>1.4070691789899621</v>
      </c>
      <c r="H34" s="744">
        <f>'Standard 1.-16. Standjahr'!BA10</f>
        <v>10000</v>
      </c>
      <c r="I34" s="745">
        <f>H34/C2</f>
        <v>11.111111111111111</v>
      </c>
      <c r="J34" s="746">
        <f>'Standard 1.-16. Standjahr'!BC78</f>
        <v>125750.41692751211</v>
      </c>
      <c r="K34" s="9"/>
      <c r="L34" s="7"/>
      <c r="M34" s="1"/>
      <c r="N34" s="1"/>
      <c r="O34" s="1"/>
    </row>
    <row r="35" spans="1:15" ht="15" x14ac:dyDescent="0.25">
      <c r="A35" s="752" t="s">
        <v>51</v>
      </c>
      <c r="B35" s="740">
        <v>9</v>
      </c>
      <c r="C35" s="762">
        <f>'Standard 1.-16. Standjahr'!BJ77</f>
        <v>-126537.48618826605</v>
      </c>
      <c r="D35" s="741">
        <f>'Standard 1.-16. Standjahr'!BJ12</f>
        <v>76500</v>
      </c>
      <c r="E35" s="741">
        <f>'Standard 1.-16. Standjahr'!BJ73</f>
        <v>100312.73374887757</v>
      </c>
      <c r="F35" s="741">
        <f t="shared" si="0"/>
        <v>-23812.733748877567</v>
      </c>
      <c r="G35" s="742">
        <f t="shared" si="1"/>
        <v>0.76261504537908165</v>
      </c>
      <c r="H35" s="744">
        <f>'Standard 1.-16. Standjahr'!BH10</f>
        <v>10000</v>
      </c>
      <c r="I35" s="745">
        <f>H35/C2</f>
        <v>11.111111111111111</v>
      </c>
      <c r="J35" s="746">
        <f>'Standard 1.-16. Standjahr'!BJ78</f>
        <v>110031.61481157309</v>
      </c>
      <c r="K35" s="9"/>
      <c r="L35" s="7"/>
      <c r="M35" s="1"/>
      <c r="N35" s="1"/>
      <c r="O35" s="1"/>
    </row>
    <row r="36" spans="1:15" ht="15" x14ac:dyDescent="0.25">
      <c r="A36" s="752" t="s">
        <v>52</v>
      </c>
      <c r="B36" s="740">
        <v>10</v>
      </c>
      <c r="C36" s="762">
        <f>'Standard 1.-16. Standjahr'!BQ77</f>
        <v>-109000.75471780659</v>
      </c>
      <c r="D36" s="741">
        <f>'Standard 1.-16. Standjahr'!BQ12</f>
        <v>76500</v>
      </c>
      <c r="E36" s="741">
        <f>'Standard 1.-16. Standjahr'!BQ73</f>
        <v>58963.268529540546</v>
      </c>
      <c r="F36" s="741">
        <f t="shared" si="0"/>
        <v>17536.731470459454</v>
      </c>
      <c r="G36" s="742">
        <f t="shared" si="1"/>
        <v>1.2974178994448649</v>
      </c>
      <c r="H36" s="744">
        <f>'Standard 1.-16. Standjahr'!BO10</f>
        <v>10000</v>
      </c>
      <c r="I36" s="745">
        <f>H36/C2</f>
        <v>11.111111111111111</v>
      </c>
      <c r="J36" s="746">
        <f>'Standard 1.-16. Standjahr'!BQ78</f>
        <v>94312.812695634071</v>
      </c>
      <c r="K36" s="9"/>
      <c r="L36" s="7"/>
      <c r="M36" s="1"/>
      <c r="N36" s="1"/>
      <c r="O36" s="1"/>
    </row>
    <row r="37" spans="1:15" ht="15" x14ac:dyDescent="0.25">
      <c r="A37" s="752" t="s">
        <v>53</v>
      </c>
      <c r="B37" s="740">
        <v>11</v>
      </c>
      <c r="C37" s="762">
        <f>'Standard 1.-16. Standjahr'!BX77</f>
        <v>-86726.382664113014</v>
      </c>
      <c r="D37" s="741">
        <f>'Standard 1.-16. Standjahr'!BX12</f>
        <v>76500</v>
      </c>
      <c r="E37" s="741">
        <f>'Standard 1.-16. Standjahr'!BX73</f>
        <v>54225.627946306413</v>
      </c>
      <c r="F37" s="741">
        <f t="shared" si="0"/>
        <v>22274.372053693587</v>
      </c>
      <c r="G37" s="742">
        <f t="shared" si="1"/>
        <v>1.4107720444611431</v>
      </c>
      <c r="H37" s="744">
        <f>'Standard 1.-16. Standjahr'!BV10</f>
        <v>10000</v>
      </c>
      <c r="I37" s="745">
        <f>H37/C2</f>
        <v>11.111111111111111</v>
      </c>
      <c r="J37" s="746">
        <f>'Standard 1.-16. Standjahr'!BX78</f>
        <v>78594.010579695052</v>
      </c>
      <c r="K37" s="9"/>
      <c r="L37" s="9"/>
    </row>
    <row r="38" spans="1:15" ht="15" x14ac:dyDescent="0.25">
      <c r="A38" s="752" t="s">
        <v>54</v>
      </c>
      <c r="B38" s="740">
        <v>12</v>
      </c>
      <c r="C38" s="762">
        <f>'Standard 1.-16. Standjahr'!CE77</f>
        <v>-65726.118185013125</v>
      </c>
      <c r="D38" s="741">
        <f>'Standard 1.-16. Standjahr'!CE12</f>
        <v>76500</v>
      </c>
      <c r="E38" s="741">
        <f>'Standard 1.-16. Standjahr'!CE73</f>
        <v>55499.735520900096</v>
      </c>
      <c r="F38" s="741">
        <f t="shared" si="0"/>
        <v>21000.264479099904</v>
      </c>
      <c r="G38" s="742">
        <f t="shared" si="1"/>
        <v>1.3783849469191005</v>
      </c>
      <c r="H38" s="744">
        <f>'Standard 1.-16. Standjahr'!CC10</f>
        <v>10000</v>
      </c>
      <c r="I38" s="745">
        <f>H38/C2</f>
        <v>11.111111111111111</v>
      </c>
      <c r="J38" s="746">
        <f>'Standard 1.-16. Standjahr'!CE78</f>
        <v>62875.208463756033</v>
      </c>
      <c r="K38" s="9"/>
      <c r="L38" s="9"/>
    </row>
    <row r="39" spans="1:15" ht="15" x14ac:dyDescent="0.25">
      <c r="A39" s="752" t="s">
        <v>55</v>
      </c>
      <c r="B39" s="755">
        <v>13</v>
      </c>
      <c r="C39" s="762">
        <f>'Standard 1.-16. Standjahr'!CL77</f>
        <v>-43062.274402524403</v>
      </c>
      <c r="D39" s="741">
        <f>'Standard 1.-16. Standjahr'!CL12</f>
        <v>76500</v>
      </c>
      <c r="E39" s="741">
        <f>'Standard 1.-16. Standjahr'!CL73</f>
        <v>53836.15621751127</v>
      </c>
      <c r="F39" s="741">
        <f t="shared" si="0"/>
        <v>22663.84378248873</v>
      </c>
      <c r="G39" s="742">
        <f t="shared" si="1"/>
        <v>1.4209781190715258</v>
      </c>
      <c r="H39" s="744">
        <f>'Standard 1.-16. Standjahr'!CJ10</f>
        <v>10000</v>
      </c>
      <c r="I39" s="745">
        <f>H39/C2</f>
        <v>11.111111111111111</v>
      </c>
      <c r="J39" s="746">
        <f>'Standard 1.-16. Standjahr'!CL78</f>
        <v>47156.406347817014</v>
      </c>
      <c r="K39" s="9"/>
      <c r="L39" s="9"/>
    </row>
    <row r="40" spans="1:15" ht="15" x14ac:dyDescent="0.25">
      <c r="A40" s="752" t="s">
        <v>56</v>
      </c>
      <c r="B40" s="740">
        <v>14</v>
      </c>
      <c r="C40" s="762">
        <f>'Standard 1.-16. Standjahr'!CS77</f>
        <v>-20194.456025993277</v>
      </c>
      <c r="D40" s="741">
        <f>'Standard 1.-16. Standjahr'!CS12</f>
        <v>76500</v>
      </c>
      <c r="E40" s="741">
        <f>'Standard 1.-16. Standjahr'!CS73</f>
        <v>53632.181623468874</v>
      </c>
      <c r="F40" s="741">
        <f t="shared" si="0"/>
        <v>22867.818376531126</v>
      </c>
      <c r="G40" s="742">
        <f t="shared" si="1"/>
        <v>1.4263824010941299</v>
      </c>
      <c r="H40" s="744">
        <f>'Standard 1.-16. Standjahr'!CQ10</f>
        <v>10000</v>
      </c>
      <c r="I40" s="745">
        <f>H40/C2</f>
        <v>11.111111111111111</v>
      </c>
      <c r="J40" s="746">
        <f>'Standard 1.-16. Standjahr'!CS78</f>
        <v>31437.604231877995</v>
      </c>
      <c r="K40" s="9"/>
      <c r="L40" s="9"/>
    </row>
    <row r="41" spans="1:15" ht="15" x14ac:dyDescent="0.25">
      <c r="A41" s="752" t="s">
        <v>57</v>
      </c>
      <c r="B41" s="740">
        <v>15</v>
      </c>
      <c r="C41" s="762">
        <f>'Standard 1.-16. Standjahr'!CZ77</f>
        <v>1404.5957928497082</v>
      </c>
      <c r="D41" s="741">
        <f>'Standard 1.-16. Standjahr'!CZ12</f>
        <v>76500</v>
      </c>
      <c r="E41" s="741">
        <f>'Standard 1.-16. Standjahr'!CZ73</f>
        <v>54900.948181157015</v>
      </c>
      <c r="F41" s="741">
        <f t="shared" si="0"/>
        <v>21599.051818842985</v>
      </c>
      <c r="G41" s="742">
        <f t="shared" si="1"/>
        <v>1.393418557136253</v>
      </c>
      <c r="H41" s="744">
        <f>'Standard 1.-16. Standjahr'!CX10</f>
        <v>10000</v>
      </c>
      <c r="I41" s="745">
        <f>H41/C2</f>
        <v>11.111111111111111</v>
      </c>
      <c r="J41" s="746">
        <f>'Standard 1.-16. Standjahr'!CZ78</f>
        <v>15718.802115938975</v>
      </c>
      <c r="K41" s="9"/>
      <c r="L41" s="9"/>
    </row>
    <row r="42" spans="1:15" ht="15" x14ac:dyDescent="0.25">
      <c r="A42" s="753" t="s">
        <v>179</v>
      </c>
      <c r="B42" s="747">
        <v>16</v>
      </c>
      <c r="C42" s="763">
        <f>'Standard 1.-16. Standjahr'!DG77</f>
        <v>18672.616001139206</v>
      </c>
      <c r="D42" s="748">
        <f>'Standard 1.-16. Standjahr'!DG12</f>
        <v>76500</v>
      </c>
      <c r="E42" s="748">
        <f>'Standard 1.-16. Standjahr'!DG73</f>
        <v>59231.979791710502</v>
      </c>
      <c r="F42" s="748">
        <f t="shared" si="0"/>
        <v>17268.020208289498</v>
      </c>
      <c r="G42" s="749">
        <f t="shared" si="1"/>
        <v>1.2915320451724315</v>
      </c>
      <c r="H42" s="748">
        <f>'Standard 1.-16. Standjahr'!DE10</f>
        <v>10000</v>
      </c>
      <c r="I42" s="750">
        <f>H42/C2</f>
        <v>11.111111111111111</v>
      </c>
      <c r="J42" s="751">
        <f>'Standard 1.-16. Standjahr'!DG78</f>
        <v>-4.3655745685100555E-11</v>
      </c>
    </row>
    <row r="44" spans="1:15" ht="15" x14ac:dyDescent="0.2">
      <c r="A44" s="25" t="s">
        <v>84</v>
      </c>
      <c r="B44" s="25"/>
      <c r="C44" s="393"/>
      <c r="D44" s="394"/>
      <c r="E44" s="394"/>
      <c r="F44" s="394"/>
      <c r="G44" s="394"/>
    </row>
    <row r="46" spans="1:15" ht="33.6" customHeight="1" x14ac:dyDescent="0.3">
      <c r="A46" s="736" t="s">
        <v>194</v>
      </c>
      <c r="B46" s="737"/>
      <c r="C46" s="738"/>
      <c r="D46" s="739">
        <f>C42</f>
        <v>18672.616001139206</v>
      </c>
    </row>
    <row r="47" spans="1:15" ht="15.75" x14ac:dyDescent="0.25">
      <c r="A47" s="47"/>
      <c r="B47" s="44"/>
      <c r="D47" s="94"/>
    </row>
    <row r="48" spans="1:15" ht="22.7" customHeight="1" x14ac:dyDescent="0.25">
      <c r="A48" s="628" t="s">
        <v>85</v>
      </c>
      <c r="B48" s="438"/>
      <c r="C48" s="485"/>
      <c r="D48" s="629">
        <f>'Standard Ertragsphase'!F79</f>
        <v>24.996730252905863</v>
      </c>
    </row>
    <row r="49" spans="1:5" x14ac:dyDescent="0.2">
      <c r="A49" t="s">
        <v>86</v>
      </c>
      <c r="B49" s="12"/>
      <c r="D49" s="19">
        <f>'Standard Ertragsphase'!D68</f>
        <v>1099.3333333333335</v>
      </c>
    </row>
    <row r="50" spans="1:5" ht="18.75" customHeight="1" x14ac:dyDescent="0.2">
      <c r="A50" t="s">
        <v>87</v>
      </c>
      <c r="D50" s="32">
        <f>2700/D49</f>
        <v>2.4560339599757426</v>
      </c>
      <c r="E50" t="s">
        <v>88</v>
      </c>
    </row>
    <row r="51" spans="1:5" ht="22.7" customHeight="1" x14ac:dyDescent="0.2">
      <c r="A51" t="s">
        <v>89</v>
      </c>
    </row>
    <row r="53" spans="1:5" ht="16.5" x14ac:dyDescent="0.25">
      <c r="A53" s="628" t="s">
        <v>90</v>
      </c>
      <c r="B53" s="562" t="str">
        <f>'Standard Vorgaben'!B20</f>
        <v xml:space="preserve"> 22+ mm</v>
      </c>
      <c r="C53" s="485"/>
      <c r="D53" s="630">
        <f>'Standard Ertragsphase'!F88</f>
        <v>8.4887401342932023</v>
      </c>
    </row>
    <row r="54" spans="1:5" ht="15.75" x14ac:dyDescent="0.25">
      <c r="A54" s="438" t="s">
        <v>91</v>
      </c>
      <c r="B54" s="562" t="str">
        <f>'Standard Vorgaben'!C20</f>
        <v xml:space="preserve"> Abgang</v>
      </c>
      <c r="C54" s="438"/>
      <c r="D54" s="630">
        <f>'Standard Ertragsphase'!F89</f>
        <v>0</v>
      </c>
      <c r="E54" s="103"/>
    </row>
  </sheetData>
  <phoneticPr fontId="25" type="noConversion"/>
  <printOptions gridLines="1" gridLinesSet="0"/>
  <pageMargins left="0.19685039370078741" right="0.19685039370078741" top="0.39370078740157483" bottom="0.39370078740157483" header="0.51181102362204722" footer="0.51181102362204722"/>
  <pageSetup paperSize="9" scale="75" orientation="landscape" r:id="rId1"/>
  <headerFooter alignWithMargins="0">
    <oddFooter>&amp;L&amp;6&amp;F&amp;C&amp;6&amp;A &amp;R&amp;6Kontakt: matthias.zuercher@faw.admin.ch</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Vorgaben1">
    <tabColor rgb="FFFF66CC"/>
  </sheetPr>
  <dimension ref="A1:AO195"/>
  <sheetViews>
    <sheetView zoomScale="90" zoomScaleNormal="90" workbookViewId="0">
      <selection activeCell="G12" sqref="G12"/>
    </sheetView>
  </sheetViews>
  <sheetFormatPr baseColWidth="10" defaultColWidth="11.42578125" defaultRowHeight="12.75" x14ac:dyDescent="0.2"/>
  <cols>
    <col min="1" max="1" width="32.7109375" customWidth="1"/>
    <col min="2" max="2" width="33.5703125" customWidth="1"/>
    <col min="3" max="3" width="19.85546875" style="132" customWidth="1"/>
    <col min="4" max="4" width="22.42578125" style="12" bestFit="1" customWidth="1"/>
    <col min="5" max="5" width="28" style="12" bestFit="1" customWidth="1"/>
    <col min="6" max="6" width="22.42578125" style="12" bestFit="1" customWidth="1"/>
    <col min="7" max="7" width="25.5703125" bestFit="1" customWidth="1"/>
    <col min="8" max="8" width="81.42578125" bestFit="1" customWidth="1"/>
    <col min="9" max="9" width="23.42578125" bestFit="1" customWidth="1"/>
    <col min="10" max="10" width="3" customWidth="1"/>
    <col min="11" max="11" width="11.42578125" customWidth="1"/>
    <col min="12" max="12" width="14.28515625" customWidth="1"/>
  </cols>
  <sheetData>
    <row r="1" spans="1:10" ht="44.45" customHeight="1" x14ac:dyDescent="0.4">
      <c r="A1" s="928" t="str">
        <f>Eingabeseite!A1</f>
        <v>Arbokost 2024</v>
      </c>
      <c r="B1" s="331" t="str">
        <f>B8</f>
        <v>Tafelkirsche</v>
      </c>
      <c r="C1" s="340"/>
      <c r="D1" s="336"/>
      <c r="E1" s="566"/>
      <c r="F1" s="333"/>
      <c r="G1" s="567"/>
      <c r="H1" s="328"/>
    </row>
    <row r="2" spans="1:10" s="1" customFormat="1" ht="27" customHeight="1" x14ac:dyDescent="0.35">
      <c r="A2" s="929" t="str">
        <f>'Var Erstellung'!A2</f>
        <v>Variante  1ha</v>
      </c>
      <c r="B2" s="566">
        <f>Eingabeseite!D21</f>
        <v>900</v>
      </c>
      <c r="C2" s="328"/>
      <c r="D2" s="328"/>
      <c r="E2" s="328"/>
      <c r="F2" s="568"/>
      <c r="G2" s="569"/>
      <c r="H2" s="328"/>
    </row>
    <row r="3" spans="1:10" s="1" customFormat="1" ht="54" customHeight="1" x14ac:dyDescent="0.2">
      <c r="A3" s="329" t="s">
        <v>243</v>
      </c>
      <c r="B3" s="1376" t="s">
        <v>268</v>
      </c>
      <c r="C3" s="1376"/>
      <c r="D3" s="1376"/>
      <c r="E3" s="1376"/>
      <c r="F3" s="1376"/>
      <c r="G3" s="1376"/>
      <c r="H3" s="328"/>
    </row>
    <row r="4" spans="1:10" s="1" customFormat="1" ht="18.75" customHeight="1" x14ac:dyDescent="0.2">
      <c r="A4" s="329"/>
      <c r="B4" s="1244"/>
      <c r="C4" s="1244"/>
      <c r="D4" s="1244"/>
      <c r="E4" s="1244"/>
      <c r="F4" s="1244"/>
      <c r="G4" s="1244"/>
      <c r="H4" s="328"/>
    </row>
    <row r="5" spans="1:10" s="1" customFormat="1" ht="33.75" customHeight="1" x14ac:dyDescent="0.4">
      <c r="A5" s="1377" t="s">
        <v>409</v>
      </c>
      <c r="B5" s="1378"/>
      <c r="C5" s="1379" t="s">
        <v>585</v>
      </c>
      <c r="D5" s="1380"/>
      <c r="E5" s="1380"/>
      <c r="F5" s="1380"/>
      <c r="G5" s="1380"/>
      <c r="H5" s="1381"/>
    </row>
    <row r="6" spans="1:10" ht="13.5" customHeight="1" x14ac:dyDescent="0.2">
      <c r="H6" s="926" t="s">
        <v>126</v>
      </c>
    </row>
    <row r="7" spans="1:10" ht="26.25" x14ac:dyDescent="0.4">
      <c r="A7" s="928" t="s">
        <v>147</v>
      </c>
      <c r="B7" s="930"/>
      <c r="C7" s="931"/>
      <c r="D7" s="932"/>
      <c r="E7" s="933"/>
      <c r="F7" s="932"/>
      <c r="G7" s="934"/>
      <c r="H7" s="935"/>
    </row>
    <row r="8" spans="1:10" s="1" customFormat="1" ht="15" x14ac:dyDescent="0.25">
      <c r="A8" s="381" t="s">
        <v>148</v>
      </c>
      <c r="B8" s="880" t="s">
        <v>169</v>
      </c>
      <c r="C8" s="489"/>
      <c r="D8" s="378"/>
      <c r="E8" s="378"/>
      <c r="F8" s="378"/>
      <c r="G8" s="378"/>
      <c r="H8"/>
      <c r="I8"/>
      <c r="J8"/>
    </row>
    <row r="9" spans="1:10" s="1" customFormat="1" ht="15" x14ac:dyDescent="0.25">
      <c r="A9" s="381" t="s">
        <v>250</v>
      </c>
      <c r="B9" s="880" t="s">
        <v>359</v>
      </c>
      <c r="C9" s="380"/>
      <c r="D9" s="378"/>
      <c r="E9" s="378"/>
      <c r="F9" s="378"/>
      <c r="G9" s="378"/>
      <c r="H9"/>
      <c r="I9"/>
      <c r="J9"/>
    </row>
    <row r="10" spans="1:10" s="1" customFormat="1" ht="15" x14ac:dyDescent="0.25">
      <c r="A10" s="381" t="s">
        <v>149</v>
      </c>
      <c r="B10" s="880" t="s">
        <v>473</v>
      </c>
      <c r="C10" s="378"/>
      <c r="D10" s="378"/>
      <c r="E10" s="378"/>
      <c r="F10" s="378"/>
      <c r="G10" s="380"/>
      <c r="H10"/>
      <c r="I10"/>
      <c r="J10"/>
    </row>
    <row r="11" spans="1:10" s="1" customFormat="1" ht="15" x14ac:dyDescent="0.25">
      <c r="A11" s="381" t="s">
        <v>14</v>
      </c>
      <c r="B11" s="677">
        <f>Eingabeseite!D21</f>
        <v>900</v>
      </c>
      <c r="C11" s="378"/>
      <c r="D11" s="490"/>
      <c r="E11" s="491"/>
      <c r="F11" s="491"/>
      <c r="G11" s="380"/>
    </row>
    <row r="12" spans="1:10" s="1" customFormat="1" ht="15" x14ac:dyDescent="0.25">
      <c r="A12" s="381" t="s">
        <v>150</v>
      </c>
      <c r="B12" s="880" t="s">
        <v>7</v>
      </c>
      <c r="C12" s="492"/>
      <c r="D12" s="490"/>
      <c r="E12" s="491"/>
      <c r="F12" s="491"/>
      <c r="G12"/>
      <c r="H12"/>
    </row>
    <row r="13" spans="1:10" s="1" customFormat="1" ht="15" x14ac:dyDescent="0.25">
      <c r="A13" s="381" t="s">
        <v>358</v>
      </c>
      <c r="B13" s="880" t="s">
        <v>515</v>
      </c>
      <c r="C13" s="882"/>
      <c r="D13" s="883"/>
      <c r="E13" s="884"/>
      <c r="F13" s="491"/>
      <c r="H13" s="378"/>
    </row>
    <row r="14" spans="1:10" s="1" customFormat="1" ht="15" x14ac:dyDescent="0.25">
      <c r="A14" s="381" t="s">
        <v>64</v>
      </c>
      <c r="B14" s="880" t="s">
        <v>95</v>
      </c>
      <c r="C14" s="492"/>
      <c r="D14" s="490"/>
      <c r="E14" s="491"/>
      <c r="F14" s="588"/>
      <c r="G14" s="588"/>
    </row>
    <row r="15" spans="1:10" ht="15" x14ac:dyDescent="0.25">
      <c r="A15" s="381" t="s">
        <v>241</v>
      </c>
      <c r="B15" s="881" t="s">
        <v>584</v>
      </c>
      <c r="C15" s="885" t="s">
        <v>376</v>
      </c>
      <c r="D15" s="886">
        <v>6</v>
      </c>
      <c r="E15" s="494"/>
      <c r="F15" s="505"/>
      <c r="G15" s="497"/>
    </row>
    <row r="16" spans="1:10" ht="15" x14ac:dyDescent="0.25">
      <c r="A16" s="381" t="s">
        <v>170</v>
      </c>
      <c r="B16" s="881" t="s">
        <v>96</v>
      </c>
      <c r="C16" s="497"/>
      <c r="D16" s="497"/>
      <c r="E16" s="378"/>
      <c r="F16" s="505"/>
      <c r="G16" s="497"/>
    </row>
    <row r="17" spans="1:14" ht="15" x14ac:dyDescent="0.25">
      <c r="A17" s="381" t="s">
        <v>534</v>
      </c>
      <c r="B17" s="881" t="s">
        <v>514</v>
      </c>
      <c r="C17" s="885" t="s">
        <v>376</v>
      </c>
      <c r="D17" s="886" t="s">
        <v>410</v>
      </c>
      <c r="E17" s="378"/>
      <c r="F17" s="505"/>
      <c r="G17" s="497"/>
    </row>
    <row r="18" spans="1:14" ht="15" x14ac:dyDescent="0.25">
      <c r="A18" s="381" t="s">
        <v>164</v>
      </c>
      <c r="B18" s="881" t="s">
        <v>96</v>
      </c>
      <c r="C18" s="498"/>
      <c r="D18" s="377"/>
      <c r="E18" s="378"/>
      <c r="F18" s="378"/>
      <c r="G18" s="378"/>
    </row>
    <row r="19" spans="1:14" ht="33.75" customHeight="1" x14ac:dyDescent="0.25">
      <c r="A19" s="1382" t="s">
        <v>440</v>
      </c>
      <c r="B19" s="1383"/>
      <c r="C19" s="498"/>
      <c r="D19" s="377"/>
      <c r="E19" s="378"/>
      <c r="F19" s="499"/>
      <c r="G19" s="378"/>
    </row>
    <row r="20" spans="1:14" ht="15" x14ac:dyDescent="0.25">
      <c r="A20" s="557" t="s">
        <v>254</v>
      </c>
      <c r="B20" s="1117" t="s">
        <v>462</v>
      </c>
      <c r="C20" s="1117" t="s">
        <v>463</v>
      </c>
      <c r="F20" s="499"/>
      <c r="G20" s="378"/>
    </row>
    <row r="21" spans="1:14" ht="15" customHeight="1" x14ac:dyDescent="0.25">
      <c r="A21" s="381"/>
      <c r="B21" s="589"/>
      <c r="C21" s="500"/>
      <c r="D21" s="491"/>
      <c r="E21" s="378"/>
      <c r="F21" s="501"/>
      <c r="G21" s="378"/>
    </row>
    <row r="22" spans="1:14" ht="15" x14ac:dyDescent="0.25">
      <c r="A22" s="382" t="s">
        <v>83</v>
      </c>
      <c r="B22" s="887">
        <v>4</v>
      </c>
      <c r="C22" s="502"/>
      <c r="D22" s="377"/>
      <c r="E22" s="378"/>
      <c r="F22" s="494"/>
      <c r="G22" s="378"/>
    </row>
    <row r="23" spans="1:14" s="1" customFormat="1" ht="15" thickBot="1" x14ac:dyDescent="0.25">
      <c r="A23" s="378" t="s">
        <v>93</v>
      </c>
      <c r="B23" s="888">
        <v>16</v>
      </c>
      <c r="C23" s="378"/>
      <c r="D23" s="380"/>
      <c r="E23" s="380"/>
      <c r="F23" s="380"/>
      <c r="G23" s="380"/>
    </row>
    <row r="24" spans="1:14" s="1" customFormat="1" ht="15" x14ac:dyDescent="0.25">
      <c r="A24" s="383" t="s">
        <v>10</v>
      </c>
      <c r="B24" s="524">
        <f>B23-B22</f>
        <v>12</v>
      </c>
      <c r="C24" s="378"/>
      <c r="D24" s="500"/>
      <c r="E24" s="500"/>
      <c r="F24" s="500"/>
      <c r="G24" s="380"/>
    </row>
    <row r="25" spans="1:14" s="1" customFormat="1" ht="14.25" x14ac:dyDescent="0.2">
      <c r="A25" s="380"/>
      <c r="B25" s="380"/>
      <c r="C25" s="378"/>
      <c r="D25" s="500"/>
      <c r="E25" s="500"/>
      <c r="F25" s="500"/>
      <c r="G25" s="380"/>
    </row>
    <row r="26" spans="1:14" s="1" customFormat="1" ht="15" x14ac:dyDescent="0.25">
      <c r="A26" s="381" t="s">
        <v>15</v>
      </c>
      <c r="B26" s="380" t="s">
        <v>16</v>
      </c>
      <c r="C26" s="771">
        <f>Eingabeseite!D22</f>
        <v>22</v>
      </c>
      <c r="D26" s="380" t="s">
        <v>413</v>
      </c>
      <c r="E26" s="380"/>
      <c r="F26" s="380"/>
      <c r="G26" s="380"/>
    </row>
    <row r="27" spans="1:14" s="1" customFormat="1" ht="15" customHeight="1" x14ac:dyDescent="0.25">
      <c r="A27" s="381" t="s">
        <v>104</v>
      </c>
      <c r="B27" s="497" t="s">
        <v>417</v>
      </c>
      <c r="C27" s="773">
        <f>Eingabeseite!D16</f>
        <v>41.4</v>
      </c>
      <c r="D27" s="380"/>
      <c r="E27" s="497"/>
      <c r="F27" s="497"/>
      <c r="G27" s="380"/>
      <c r="M27" s="189"/>
    </row>
    <row r="28" spans="1:14" s="1" customFormat="1" ht="15" x14ac:dyDescent="0.25">
      <c r="A28" s="380"/>
      <c r="B28" s="497" t="s">
        <v>134</v>
      </c>
      <c r="C28" s="773">
        <f>Eingabeseite!D17</f>
        <v>24</v>
      </c>
      <c r="G28" s="504"/>
      <c r="N28" s="18"/>
    </row>
    <row r="29" spans="1:14" s="1" customFormat="1" ht="15" thickBot="1" x14ac:dyDescent="0.25">
      <c r="A29" s="380"/>
      <c r="B29" s="380" t="s">
        <v>145</v>
      </c>
      <c r="C29" s="774">
        <f>Eingabeseite!D18</f>
        <v>21.5</v>
      </c>
      <c r="D29" s="1385" t="s">
        <v>379</v>
      </c>
      <c r="E29" s="1386"/>
      <c r="F29" s="772">
        <f>Eingabeseite!D19</f>
        <v>0.9</v>
      </c>
      <c r="G29" s="380"/>
      <c r="N29" s="18"/>
    </row>
    <row r="30" spans="1:14" s="1" customFormat="1" ht="15" x14ac:dyDescent="0.25">
      <c r="A30" s="380"/>
      <c r="B30" s="497" t="s">
        <v>419</v>
      </c>
      <c r="C30" s="503">
        <f>(F29*C29)+(((1-F29)/2)*C28)+ (((1-F29)/2)*C27)</f>
        <v>22.62</v>
      </c>
      <c r="D30" s="505"/>
      <c r="E30" s="500"/>
      <c r="F30" s="500"/>
      <c r="G30" s="380"/>
      <c r="N30" s="18"/>
    </row>
    <row r="31" spans="1:14" s="1" customFormat="1" ht="15" x14ac:dyDescent="0.25">
      <c r="A31" s="380"/>
      <c r="B31" s="497" t="s">
        <v>420</v>
      </c>
      <c r="C31" s="503">
        <f>AVERAGE(C27:C28)</f>
        <v>32.700000000000003</v>
      </c>
      <c r="D31" s="505"/>
      <c r="E31" s="500"/>
      <c r="F31" s="500"/>
      <c r="G31" s="380"/>
      <c r="N31" s="18"/>
    </row>
    <row r="32" spans="1:14" s="1" customFormat="1" ht="14.25" x14ac:dyDescent="0.2">
      <c r="A32" s="380"/>
      <c r="B32" s="497" t="s">
        <v>442</v>
      </c>
      <c r="C32" s="498">
        <f>AVERAGE(C28:C29)</f>
        <v>22.75</v>
      </c>
      <c r="D32" s="505"/>
      <c r="E32" s="500"/>
      <c r="F32" s="500"/>
      <c r="G32" s="380"/>
      <c r="N32" s="18"/>
    </row>
    <row r="33" spans="1:41" s="1" customFormat="1" ht="15" x14ac:dyDescent="0.25">
      <c r="A33" s="377" t="s">
        <v>363</v>
      </c>
      <c r="B33" s="380"/>
      <c r="C33" s="889">
        <v>6000</v>
      </c>
      <c r="D33" s="380"/>
      <c r="E33" s="381" t="s">
        <v>441</v>
      </c>
      <c r="F33" s="380" t="s">
        <v>195</v>
      </c>
      <c r="G33" s="1107">
        <v>325</v>
      </c>
      <c r="H33" s="776"/>
      <c r="M33" s="24"/>
      <c r="N33" s="18"/>
    </row>
    <row r="34" spans="1:41" s="1" customFormat="1" ht="15" x14ac:dyDescent="0.25">
      <c r="A34" s="377" t="s">
        <v>568</v>
      </c>
      <c r="B34" s="380"/>
      <c r="C34" s="1366">
        <v>2700</v>
      </c>
      <c r="D34" s="378"/>
      <c r="E34" s="380"/>
      <c r="F34" s="380" t="s">
        <v>172</v>
      </c>
      <c r="G34" s="892">
        <v>2.57</v>
      </c>
      <c r="M34"/>
      <c r="N34" s="18"/>
    </row>
    <row r="35" spans="1:41" s="1" customFormat="1" ht="15" x14ac:dyDescent="0.25">
      <c r="A35" s="377" t="s">
        <v>17</v>
      </c>
      <c r="B35" s="380"/>
      <c r="C35" s="775">
        <f>Eingabeseite!$D$34</f>
        <v>1.4999999999999999E-2</v>
      </c>
      <c r="D35" s="380"/>
      <c r="E35" s="380"/>
      <c r="F35" s="380" t="s">
        <v>590</v>
      </c>
      <c r="G35" s="1088">
        <v>0.25</v>
      </c>
      <c r="N35" s="18"/>
    </row>
    <row r="36" spans="1:41" ht="14.25" x14ac:dyDescent="0.2">
      <c r="A36" s="380" t="s">
        <v>202</v>
      </c>
      <c r="B36" s="497"/>
      <c r="C36" s="890">
        <v>0.6</v>
      </c>
      <c r="D36" s="505"/>
      <c r="E36" s="505"/>
      <c r="F36" s="505"/>
      <c r="G36" s="497"/>
    </row>
    <row r="37" spans="1:41" ht="15" x14ac:dyDescent="0.25">
      <c r="A37" s="381" t="s">
        <v>184</v>
      </c>
      <c r="B37" s="497"/>
      <c r="C37" s="891">
        <v>660</v>
      </c>
      <c r="D37" s="505"/>
      <c r="E37" s="505"/>
      <c r="F37" s="505"/>
      <c r="G37" s="497"/>
    </row>
    <row r="38" spans="1:41" ht="15" x14ac:dyDescent="0.25">
      <c r="A38" s="506"/>
      <c r="B38" s="497"/>
      <c r="C38" s="507"/>
      <c r="D38" s="505"/>
      <c r="E38" s="505"/>
      <c r="F38" s="505"/>
      <c r="G38" s="497"/>
    </row>
    <row r="39" spans="1:41" ht="24.75" customHeight="1" x14ac:dyDescent="0.4">
      <c r="A39" s="936" t="s">
        <v>416</v>
      </c>
      <c r="B39" s="937"/>
      <c r="C39" s="938"/>
      <c r="D39" s="939"/>
      <c r="E39" s="940"/>
      <c r="F39" s="941"/>
      <c r="G39" s="942"/>
      <c r="H39" s="942"/>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row>
    <row r="40" spans="1:41" s="62" customFormat="1" x14ac:dyDescent="0.2">
      <c r="A40" s="294" t="s">
        <v>39</v>
      </c>
      <c r="B40" s="110" t="str">
        <f>B20</f>
        <v xml:space="preserve"> 22+ mm</v>
      </c>
      <c r="C40" s="110" t="str">
        <f>C20</f>
        <v xml:space="preserve"> Abgang</v>
      </c>
      <c r="D40" s="110" t="s">
        <v>40</v>
      </c>
      <c r="E40" s="110" t="s">
        <v>41</v>
      </c>
      <c r="F40" s="200" t="s">
        <v>39</v>
      </c>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x14ac:dyDescent="0.2">
      <c r="A41" s="252">
        <v>1</v>
      </c>
      <c r="B41" s="901">
        <f>Eingabeseite!D8</f>
        <v>8.1999999999999993</v>
      </c>
      <c r="C41" s="901">
        <f>Eingabeseite!D9</f>
        <v>0</v>
      </c>
      <c r="D41" s="1300">
        <f>('Standard Vorgaben'!D41)*(1+Eingabeseite!C12)</f>
        <v>0</v>
      </c>
      <c r="E41" s="1140">
        <f>D41/$B$11</f>
        <v>0</v>
      </c>
      <c r="F41" s="155">
        <v>1</v>
      </c>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row>
    <row r="42" spans="1:41" x14ac:dyDescent="0.2">
      <c r="A42" s="252">
        <v>2</v>
      </c>
      <c r="B42" s="61">
        <f>B41</f>
        <v>8.1999999999999993</v>
      </c>
      <c r="C42" s="61">
        <f t="shared" ref="C42:C56" si="0">$C$41</f>
        <v>0</v>
      </c>
      <c r="D42" s="1300">
        <f>('Standard Vorgaben'!D42)*(1+Eingabeseite!C12)</f>
        <v>0</v>
      </c>
      <c r="E42" s="1140">
        <f t="shared" ref="E42:E56" si="1">D42/$B$11</f>
        <v>0</v>
      </c>
      <c r="F42" s="155">
        <v>2</v>
      </c>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row>
    <row r="43" spans="1:41" x14ac:dyDescent="0.2">
      <c r="A43" s="252">
        <v>3</v>
      </c>
      <c r="B43" s="61">
        <f>B41</f>
        <v>8.1999999999999993</v>
      </c>
      <c r="C43" s="61">
        <f t="shared" si="0"/>
        <v>0</v>
      </c>
      <c r="D43" s="1300">
        <f>('Standard Vorgaben'!D43)*(1+Eingabeseite!C12)</f>
        <v>1095</v>
      </c>
      <c r="E43" s="1140">
        <f t="shared" si="1"/>
        <v>1.2166666666666666</v>
      </c>
      <c r="F43" s="155">
        <v>3</v>
      </c>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row>
    <row r="44" spans="1:41" x14ac:dyDescent="0.2">
      <c r="A44" s="252">
        <v>4</v>
      </c>
      <c r="B44" s="61">
        <f>B41</f>
        <v>8.1999999999999993</v>
      </c>
      <c r="C44" s="61">
        <f t="shared" si="0"/>
        <v>0</v>
      </c>
      <c r="D44" s="1300">
        <f>('Standard Vorgaben'!D44)*(1+Eingabeseite!C12)</f>
        <v>3650</v>
      </c>
      <c r="E44" s="1140">
        <f>D44/$B$11</f>
        <v>4.0555555555555554</v>
      </c>
      <c r="F44" s="155">
        <v>4</v>
      </c>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row>
    <row r="45" spans="1:41" x14ac:dyDescent="0.2">
      <c r="A45" s="62">
        <v>5</v>
      </c>
      <c r="B45" s="61">
        <f>B41</f>
        <v>8.1999999999999993</v>
      </c>
      <c r="C45" s="61">
        <f t="shared" si="0"/>
        <v>0</v>
      </c>
      <c r="D45" s="1300">
        <f>('Standard Vorgaben'!D45)*(1+Eingabeseite!C12)</f>
        <v>10000</v>
      </c>
      <c r="E45" s="1140">
        <f>D45/$B$11</f>
        <v>11.111111111111111</v>
      </c>
      <c r="F45" s="155">
        <v>5</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row>
    <row r="46" spans="1:41" x14ac:dyDescent="0.2">
      <c r="A46" s="62">
        <v>6</v>
      </c>
      <c r="B46" s="61">
        <f>B41</f>
        <v>8.1999999999999993</v>
      </c>
      <c r="C46" s="61">
        <f t="shared" si="0"/>
        <v>0</v>
      </c>
      <c r="D46" s="1300">
        <f>('Standard Vorgaben'!D46)*(1+Eingabeseite!C12)</f>
        <v>10000</v>
      </c>
      <c r="E46" s="1140">
        <f t="shared" si="1"/>
        <v>11.111111111111111</v>
      </c>
      <c r="F46" s="155">
        <v>6</v>
      </c>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row>
    <row r="47" spans="1:41" x14ac:dyDescent="0.2">
      <c r="A47" s="62">
        <v>7</v>
      </c>
      <c r="B47" s="61">
        <f>B41</f>
        <v>8.1999999999999993</v>
      </c>
      <c r="C47" s="61">
        <f t="shared" si="0"/>
        <v>0</v>
      </c>
      <c r="D47" s="1300">
        <f>('Standard Vorgaben'!D47)*(1+Eingabeseite!C12)</f>
        <v>10000</v>
      </c>
      <c r="E47" s="1140">
        <f t="shared" si="1"/>
        <v>11.111111111111111</v>
      </c>
      <c r="F47" s="155">
        <v>7</v>
      </c>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row>
    <row r="48" spans="1:41" x14ac:dyDescent="0.2">
      <c r="A48" s="62">
        <v>8</v>
      </c>
      <c r="B48" s="61">
        <f>B41</f>
        <v>8.1999999999999993</v>
      </c>
      <c r="C48" s="61">
        <f t="shared" si="0"/>
        <v>0</v>
      </c>
      <c r="D48" s="1300">
        <f>('Standard Vorgaben'!D48)*(1+Eingabeseite!C12)</f>
        <v>10000</v>
      </c>
      <c r="E48" s="1140">
        <f t="shared" si="1"/>
        <v>11.111111111111111</v>
      </c>
      <c r="F48" s="155">
        <v>8</v>
      </c>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row>
    <row r="49" spans="1:41" x14ac:dyDescent="0.2">
      <c r="A49" s="62">
        <v>9</v>
      </c>
      <c r="B49" s="61">
        <f>B41</f>
        <v>8.1999999999999993</v>
      </c>
      <c r="C49" s="61">
        <f t="shared" si="0"/>
        <v>0</v>
      </c>
      <c r="D49" s="1300">
        <f>('Standard Vorgaben'!D49)*(1+Eingabeseite!C12)</f>
        <v>10000</v>
      </c>
      <c r="E49" s="1140">
        <f t="shared" si="1"/>
        <v>11.111111111111111</v>
      </c>
      <c r="F49" s="155">
        <v>9</v>
      </c>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row>
    <row r="50" spans="1:41" x14ac:dyDescent="0.2">
      <c r="A50" s="62">
        <v>10</v>
      </c>
      <c r="B50" s="61">
        <f>B41</f>
        <v>8.1999999999999993</v>
      </c>
      <c r="C50" s="61">
        <f t="shared" si="0"/>
        <v>0</v>
      </c>
      <c r="D50" s="1300">
        <f>('Standard Vorgaben'!D50)*(1+Eingabeseite!C12)</f>
        <v>10000</v>
      </c>
      <c r="E50" s="1140">
        <f t="shared" si="1"/>
        <v>11.111111111111111</v>
      </c>
      <c r="F50" s="155">
        <v>10</v>
      </c>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row>
    <row r="51" spans="1:41" x14ac:dyDescent="0.2">
      <c r="A51" s="62">
        <v>11</v>
      </c>
      <c r="B51" s="61">
        <f>B41</f>
        <v>8.1999999999999993</v>
      </c>
      <c r="C51" s="61">
        <f t="shared" si="0"/>
        <v>0</v>
      </c>
      <c r="D51" s="1300">
        <f>('Standard Vorgaben'!D51)*(1+Eingabeseite!C12)</f>
        <v>10000</v>
      </c>
      <c r="E51" s="1140">
        <f t="shared" si="1"/>
        <v>11.111111111111111</v>
      </c>
      <c r="F51" s="155">
        <v>11</v>
      </c>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41" x14ac:dyDescent="0.2">
      <c r="A52" s="62">
        <v>12</v>
      </c>
      <c r="B52" s="61">
        <f>B41</f>
        <v>8.1999999999999993</v>
      </c>
      <c r="C52" s="61">
        <f t="shared" si="0"/>
        <v>0</v>
      </c>
      <c r="D52" s="1300">
        <f>('Standard Vorgaben'!D52)*(1+Eingabeseite!C12)</f>
        <v>10000</v>
      </c>
      <c r="E52" s="1140">
        <f t="shared" si="1"/>
        <v>11.111111111111111</v>
      </c>
      <c r="F52" s="155">
        <v>12</v>
      </c>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row>
    <row r="53" spans="1:41" x14ac:dyDescent="0.2">
      <c r="A53" s="62">
        <v>13</v>
      </c>
      <c r="B53" s="61">
        <f>B41</f>
        <v>8.1999999999999993</v>
      </c>
      <c r="C53" s="61">
        <f t="shared" si="0"/>
        <v>0</v>
      </c>
      <c r="D53" s="1300">
        <f>('Standard Vorgaben'!D53)*(1+Eingabeseite!C12)</f>
        <v>10000</v>
      </c>
      <c r="E53" s="1140">
        <f>D53/$B$11</f>
        <v>11.111111111111111</v>
      </c>
      <c r="F53" s="155">
        <v>13</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row>
    <row r="54" spans="1:41" x14ac:dyDescent="0.2">
      <c r="A54" s="62">
        <v>14</v>
      </c>
      <c r="B54" s="61">
        <f>B41</f>
        <v>8.1999999999999993</v>
      </c>
      <c r="C54" s="61">
        <f t="shared" si="0"/>
        <v>0</v>
      </c>
      <c r="D54" s="1300">
        <f>('Standard Vorgaben'!D54)*(1+Eingabeseite!C12)</f>
        <v>10000</v>
      </c>
      <c r="E54" s="1140">
        <f t="shared" si="1"/>
        <v>11.111111111111111</v>
      </c>
      <c r="F54" s="155">
        <v>14</v>
      </c>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5" spans="1:41" x14ac:dyDescent="0.2">
      <c r="A55" s="62">
        <v>15</v>
      </c>
      <c r="B55" s="61">
        <f>B41</f>
        <v>8.1999999999999993</v>
      </c>
      <c r="C55" s="61">
        <f t="shared" si="0"/>
        <v>0</v>
      </c>
      <c r="D55" s="1300">
        <f>('Standard Vorgaben'!D55)*(1+Eingabeseite!C12)</f>
        <v>10000</v>
      </c>
      <c r="E55" s="1140">
        <f t="shared" si="1"/>
        <v>11.111111111111111</v>
      </c>
      <c r="F55" s="155">
        <v>15</v>
      </c>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row>
    <row r="56" spans="1:41" x14ac:dyDescent="0.2">
      <c r="A56" s="62">
        <v>16</v>
      </c>
      <c r="B56" s="61">
        <f>B41</f>
        <v>8.1999999999999993</v>
      </c>
      <c r="C56" s="61">
        <f t="shared" si="0"/>
        <v>0</v>
      </c>
      <c r="D56" s="1300">
        <f>('Standard Vorgaben'!D56)*(1+Eingabeseite!C12)</f>
        <v>10000</v>
      </c>
      <c r="E56" s="1140">
        <f t="shared" si="1"/>
        <v>11.111111111111111</v>
      </c>
      <c r="F56" s="155">
        <v>16</v>
      </c>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row>
    <row r="57" spans="1:41" x14ac:dyDescent="0.2">
      <c r="A57" s="69" t="s">
        <v>173</v>
      </c>
      <c r="C57" s="12"/>
      <c r="D57" s="95">
        <f>SUM(D41:D44)</f>
        <v>4745</v>
      </c>
      <c r="E57" s="654">
        <f>D57/'Var Erstellung'!$B$2</f>
        <v>5.2722222222222221</v>
      </c>
      <c r="F57" s="653"/>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row>
    <row r="58" spans="1:41" x14ac:dyDescent="0.2">
      <c r="A58" s="69" t="s">
        <v>174</v>
      </c>
      <c r="B58" s="1"/>
      <c r="C58" s="12"/>
      <c r="D58" s="95">
        <f>SUM(D41:D56)</f>
        <v>124745</v>
      </c>
      <c r="E58" s="654">
        <f>D58/'Var Erstellung'!$B$2</f>
        <v>138.60555555555555</v>
      </c>
      <c r="F58" s="653"/>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row>
    <row r="59" spans="1:41" x14ac:dyDescent="0.2">
      <c r="A59" s="69" t="s">
        <v>175</v>
      </c>
      <c r="B59" s="525">
        <f>AVERAGE(B45:B56)</f>
        <v>8.2000000000000011</v>
      </c>
      <c r="C59" s="12"/>
      <c r="D59" s="95">
        <f>AVERAGE(D45:D56)</f>
        <v>10000</v>
      </c>
      <c r="E59" s="654">
        <f>D59/'Var Erstellung'!$B$2</f>
        <v>11.111111111111111</v>
      </c>
      <c r="F59" s="653"/>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row>
    <row r="60" spans="1:41" x14ac:dyDescent="0.2">
      <c r="A60" s="69" t="s">
        <v>176</v>
      </c>
      <c r="B60" s="525">
        <f>AVERAGE(B41:B56)</f>
        <v>8.2000000000000011</v>
      </c>
      <c r="C60" s="12"/>
      <c r="D60" s="95">
        <f>AVERAGE(D41:D56)</f>
        <v>7796.5625</v>
      </c>
      <c r="E60" s="654">
        <f>D60/'Var Erstellung'!$B$2</f>
        <v>8.6628472222222221</v>
      </c>
      <c r="F60" s="653"/>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row>
    <row r="61" spans="1:41" s="1" customFormat="1" x14ac:dyDescent="0.2">
      <c r="B61" s="107"/>
      <c r="C61" s="107"/>
      <c r="D61" s="107"/>
      <c r="E61" s="95"/>
      <c r="F61" s="108"/>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26.25" customHeight="1" x14ac:dyDescent="0.4">
      <c r="A62" s="936" t="s">
        <v>171</v>
      </c>
      <c r="B62" s="937"/>
      <c r="C62" s="938"/>
      <c r="D62" s="939"/>
      <c r="E62" s="940"/>
      <c r="F62" s="943"/>
      <c r="G62" s="1387"/>
      <c r="H62" s="138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row>
    <row r="63" spans="1:41" x14ac:dyDescent="0.2">
      <c r="A63" s="294" t="s">
        <v>39</v>
      </c>
      <c r="B63" s="124" t="str">
        <f>B20</f>
        <v xml:space="preserve"> 22+ mm</v>
      </c>
      <c r="C63" s="124" t="str">
        <f>C20</f>
        <v xml:space="preserve"> Abgang</v>
      </c>
      <c r="D63" s="374" t="s">
        <v>42</v>
      </c>
      <c r="E63" s="713" t="s">
        <v>39</v>
      </c>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row>
    <row r="64" spans="1:41" x14ac:dyDescent="0.2">
      <c r="A64" s="258"/>
      <c r="B64" s="111" t="s">
        <v>62</v>
      </c>
      <c r="C64" s="111" t="s">
        <v>62</v>
      </c>
      <c r="D64" s="118" t="s">
        <v>69</v>
      </c>
      <c r="E64" s="254"/>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row>
    <row r="65" spans="1:41" x14ac:dyDescent="0.2">
      <c r="A65" s="253">
        <v>1</v>
      </c>
      <c r="B65" s="1301">
        <f>Eingabeseite!D10</f>
        <v>0.90000000000000024</v>
      </c>
      <c r="C65" s="1301">
        <f>Eingabeseite!D11</f>
        <v>9.9999999999999992E-2</v>
      </c>
      <c r="D65" s="1302">
        <f>Eingabeseite!D14</f>
        <v>12</v>
      </c>
      <c r="E65" s="155">
        <v>1</v>
      </c>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1" x14ac:dyDescent="0.2">
      <c r="A66" s="253">
        <v>2</v>
      </c>
      <c r="B66" s="127">
        <f>B65</f>
        <v>0.90000000000000024</v>
      </c>
      <c r="C66" s="127">
        <f t="shared" ref="C66:C80" si="2">$C$65</f>
        <v>9.9999999999999992E-2</v>
      </c>
      <c r="D66" s="678">
        <f>D65</f>
        <v>12</v>
      </c>
      <c r="E66" s="155">
        <v>2</v>
      </c>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row>
    <row r="67" spans="1:41" x14ac:dyDescent="0.2">
      <c r="A67" s="253">
        <v>3</v>
      </c>
      <c r="B67" s="127">
        <f>B65</f>
        <v>0.90000000000000024</v>
      </c>
      <c r="C67" s="127">
        <f t="shared" si="2"/>
        <v>9.9999999999999992E-2</v>
      </c>
      <c r="D67" s="678">
        <f>D65</f>
        <v>12</v>
      </c>
      <c r="E67" s="155">
        <v>3</v>
      </c>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row>
    <row r="68" spans="1:41" x14ac:dyDescent="0.2">
      <c r="A68" s="253">
        <v>4</v>
      </c>
      <c r="B68" s="127">
        <f>B65</f>
        <v>0.90000000000000024</v>
      </c>
      <c r="C68" s="127">
        <f t="shared" si="2"/>
        <v>9.9999999999999992E-2</v>
      </c>
      <c r="D68" s="678">
        <f>D65</f>
        <v>12</v>
      </c>
      <c r="E68" s="155">
        <v>4</v>
      </c>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row>
    <row r="69" spans="1:41" x14ac:dyDescent="0.2">
      <c r="A69" s="62">
        <v>5</v>
      </c>
      <c r="B69" s="127">
        <f>B65</f>
        <v>0.90000000000000024</v>
      </c>
      <c r="C69" s="127">
        <f t="shared" si="2"/>
        <v>9.9999999999999992E-2</v>
      </c>
      <c r="D69" s="678">
        <f>D65</f>
        <v>12</v>
      </c>
      <c r="E69" s="155">
        <v>5</v>
      </c>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1:41" x14ac:dyDescent="0.2">
      <c r="A70" s="62">
        <v>6</v>
      </c>
      <c r="B70" s="127">
        <f>B65</f>
        <v>0.90000000000000024</v>
      </c>
      <c r="C70" s="127">
        <f t="shared" si="2"/>
        <v>9.9999999999999992E-2</v>
      </c>
      <c r="D70" s="678">
        <f>D65</f>
        <v>12</v>
      </c>
      <c r="E70" s="155">
        <v>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1:41" x14ac:dyDescent="0.2">
      <c r="A71" s="62">
        <v>7</v>
      </c>
      <c r="B71" s="127">
        <f>B65</f>
        <v>0.90000000000000024</v>
      </c>
      <c r="C71" s="127">
        <f t="shared" si="2"/>
        <v>9.9999999999999992E-2</v>
      </c>
      <c r="D71" s="678">
        <f>D65</f>
        <v>12</v>
      </c>
      <c r="E71" s="155">
        <v>7</v>
      </c>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row>
    <row r="72" spans="1:41" x14ac:dyDescent="0.2">
      <c r="A72" s="62">
        <v>8</v>
      </c>
      <c r="B72" s="127">
        <f>B65</f>
        <v>0.90000000000000024</v>
      </c>
      <c r="C72" s="127">
        <f t="shared" si="2"/>
        <v>9.9999999999999992E-2</v>
      </c>
      <c r="D72" s="678">
        <f>D65</f>
        <v>12</v>
      </c>
      <c r="E72" s="155">
        <v>8</v>
      </c>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row>
    <row r="73" spans="1:41" x14ac:dyDescent="0.2">
      <c r="A73" s="62">
        <v>9</v>
      </c>
      <c r="B73" s="127">
        <f>B65</f>
        <v>0.90000000000000024</v>
      </c>
      <c r="C73" s="127">
        <f t="shared" si="2"/>
        <v>9.9999999999999992E-2</v>
      </c>
      <c r="D73" s="678">
        <f>D65</f>
        <v>12</v>
      </c>
      <c r="E73" s="155">
        <v>9</v>
      </c>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row>
    <row r="74" spans="1:41" x14ac:dyDescent="0.2">
      <c r="A74" s="62">
        <v>10</v>
      </c>
      <c r="B74" s="127">
        <f>B65</f>
        <v>0.90000000000000024</v>
      </c>
      <c r="C74" s="127">
        <f t="shared" si="2"/>
        <v>9.9999999999999992E-2</v>
      </c>
      <c r="D74" s="678">
        <f>D65</f>
        <v>12</v>
      </c>
      <c r="E74" s="155">
        <v>10</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row>
    <row r="75" spans="1:41" x14ac:dyDescent="0.2">
      <c r="A75" s="62">
        <v>11</v>
      </c>
      <c r="B75" s="127">
        <f>B65</f>
        <v>0.90000000000000024</v>
      </c>
      <c r="C75" s="127">
        <f t="shared" si="2"/>
        <v>9.9999999999999992E-2</v>
      </c>
      <c r="D75" s="678">
        <f>D65</f>
        <v>12</v>
      </c>
      <c r="E75" s="155">
        <v>11</v>
      </c>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row>
    <row r="76" spans="1:41" x14ac:dyDescent="0.2">
      <c r="A76" s="62">
        <v>12</v>
      </c>
      <c r="B76" s="127">
        <f>B65</f>
        <v>0.90000000000000024</v>
      </c>
      <c r="C76" s="127">
        <f t="shared" si="2"/>
        <v>9.9999999999999992E-2</v>
      </c>
      <c r="D76" s="678">
        <f>D65</f>
        <v>12</v>
      </c>
      <c r="E76" s="155">
        <v>12</v>
      </c>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row>
    <row r="77" spans="1:41" x14ac:dyDescent="0.2">
      <c r="A77" s="62">
        <v>13</v>
      </c>
      <c r="B77" s="127">
        <f>B65</f>
        <v>0.90000000000000024</v>
      </c>
      <c r="C77" s="127">
        <f t="shared" si="2"/>
        <v>9.9999999999999992E-2</v>
      </c>
      <c r="D77" s="678">
        <f>D65</f>
        <v>12</v>
      </c>
      <c r="E77" s="155">
        <v>13</v>
      </c>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row>
    <row r="78" spans="1:41" x14ac:dyDescent="0.2">
      <c r="A78" s="62">
        <v>14</v>
      </c>
      <c r="B78" s="127">
        <f>B65</f>
        <v>0.90000000000000024</v>
      </c>
      <c r="C78" s="127">
        <f t="shared" si="2"/>
        <v>9.9999999999999992E-2</v>
      </c>
      <c r="D78" s="678">
        <f>D65</f>
        <v>12</v>
      </c>
      <c r="E78" s="155">
        <v>14</v>
      </c>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row>
    <row r="79" spans="1:41" x14ac:dyDescent="0.2">
      <c r="A79" s="62">
        <v>15</v>
      </c>
      <c r="B79" s="127">
        <f>B65</f>
        <v>0.90000000000000024</v>
      </c>
      <c r="C79" s="127">
        <f t="shared" si="2"/>
        <v>9.9999999999999992E-2</v>
      </c>
      <c r="D79" s="678">
        <f>D65</f>
        <v>12</v>
      </c>
      <c r="E79" s="155">
        <v>15</v>
      </c>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row>
    <row r="80" spans="1:41" x14ac:dyDescent="0.2">
      <c r="A80" s="62">
        <v>16</v>
      </c>
      <c r="B80" s="127">
        <f>B65</f>
        <v>0.90000000000000024</v>
      </c>
      <c r="C80" s="127">
        <f t="shared" si="2"/>
        <v>9.9999999999999992E-2</v>
      </c>
      <c r="D80" s="678">
        <f>D65</f>
        <v>12</v>
      </c>
      <c r="E80" s="155">
        <v>16</v>
      </c>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row>
    <row r="81" spans="1:41" x14ac:dyDescent="0.2">
      <c r="A81" s="69" t="s">
        <v>175</v>
      </c>
      <c r="B81" s="125">
        <f>AVERAGE(B69:B80)</f>
        <v>0.90000000000000024</v>
      </c>
      <c r="C81" s="125">
        <f>AVERAGE(C69:C80)</f>
        <v>9.9999999999999992E-2</v>
      </c>
      <c r="D81" s="526">
        <f>AVERAGE(D69:D80)</f>
        <v>12</v>
      </c>
      <c r="E81" s="95"/>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row>
    <row r="82" spans="1:41" x14ac:dyDescent="0.2">
      <c r="A82" s="69" t="s">
        <v>176</v>
      </c>
      <c r="B82" s="125">
        <f>AVERAGE(B65:B80)</f>
        <v>0.90000000000000024</v>
      </c>
      <c r="C82" s="125">
        <f>AVERAGE(C65:C80)</f>
        <v>0.10000000000000002</v>
      </c>
      <c r="D82" s="526">
        <f>AVERAGE(D65:D80)</f>
        <v>12</v>
      </c>
      <c r="E82" s="10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row>
    <row r="83" spans="1:41" s="1" customFormat="1" ht="12.75" customHeight="1" x14ac:dyDescent="0.25">
      <c r="B83" s="107"/>
      <c r="C83" s="107"/>
      <c r="D83" s="107"/>
      <c r="E83" s="95"/>
      <c r="F83" s="108"/>
      <c r="I83" s="121"/>
      <c r="J83" s="24"/>
      <c r="K83" s="195"/>
      <c r="L83" s="159"/>
      <c r="M83" s="24"/>
      <c r="N83" s="24"/>
    </row>
    <row r="84" spans="1:41" s="1" customFormat="1" ht="26.25" x14ac:dyDescent="0.4">
      <c r="A84" s="928" t="s">
        <v>357</v>
      </c>
      <c r="B84" s="944"/>
      <c r="C84" s="944"/>
      <c r="D84" s="944"/>
      <c r="E84" s="945"/>
      <c r="F84" s="946"/>
      <c r="G84" s="942"/>
      <c r="H84" s="942"/>
      <c r="I84" s="121"/>
      <c r="J84" s="24"/>
      <c r="K84" s="195"/>
      <c r="L84" s="159"/>
      <c r="M84" s="24"/>
      <c r="N84" s="24"/>
    </row>
    <row r="85" spans="1:41" s="1" customFormat="1" ht="29.25" customHeight="1" x14ac:dyDescent="0.25">
      <c r="B85" s="212" t="s">
        <v>154</v>
      </c>
      <c r="C85" s="212" t="s">
        <v>155</v>
      </c>
      <c r="D85" s="590" t="s">
        <v>380</v>
      </c>
      <c r="E85" s="213" t="s">
        <v>156</v>
      </c>
      <c r="F85" s="214" t="s">
        <v>158</v>
      </c>
      <c r="G85" s="97" t="s">
        <v>159</v>
      </c>
      <c r="I85" s="121"/>
      <c r="J85" s="24"/>
      <c r="K85" s="195"/>
      <c r="L85" s="159"/>
      <c r="M85" s="24"/>
      <c r="N85" s="24"/>
    </row>
    <row r="86" spans="1:41" s="1" customFormat="1" ht="13.5" customHeight="1" thickBot="1" x14ac:dyDescent="0.3">
      <c r="B86" s="215" t="s">
        <v>157</v>
      </c>
      <c r="C86" s="215" t="s">
        <v>157</v>
      </c>
      <c r="D86" s="215" t="s">
        <v>157</v>
      </c>
      <c r="E86" s="215" t="s">
        <v>157</v>
      </c>
      <c r="F86" s="215" t="s">
        <v>157</v>
      </c>
      <c r="G86" s="215" t="s">
        <v>157</v>
      </c>
      <c r="I86" s="121"/>
      <c r="J86" s="24"/>
      <c r="K86" s="195"/>
      <c r="L86" s="159"/>
      <c r="M86" s="24"/>
      <c r="N86" s="24"/>
    </row>
    <row r="87" spans="1:41" s="1" customFormat="1" ht="12.2" customHeight="1" x14ac:dyDescent="0.25">
      <c r="A87" s="104" t="s">
        <v>99</v>
      </c>
      <c r="B87" s="915">
        <v>10</v>
      </c>
      <c r="C87" s="915">
        <v>10</v>
      </c>
      <c r="D87" s="915">
        <v>100</v>
      </c>
      <c r="E87" s="915">
        <v>0</v>
      </c>
      <c r="F87" s="916">
        <v>30</v>
      </c>
      <c r="G87" s="917">
        <v>20</v>
      </c>
      <c r="I87" s="121"/>
      <c r="J87" s="24"/>
      <c r="K87" s="195"/>
      <c r="L87" s="159"/>
      <c r="M87" s="24"/>
      <c r="N87" s="24"/>
    </row>
    <row r="88" spans="1:41" s="1" customFormat="1" ht="12.75" customHeight="1" x14ac:dyDescent="0.25">
      <c r="A88" s="1" t="s">
        <v>121</v>
      </c>
      <c r="B88" s="1274">
        <v>10</v>
      </c>
      <c r="C88" s="1274">
        <v>10</v>
      </c>
      <c r="D88" s="1274">
        <v>60</v>
      </c>
      <c r="E88" s="1274">
        <v>0</v>
      </c>
      <c r="F88" s="1275">
        <v>10</v>
      </c>
      <c r="G88" s="920">
        <v>20</v>
      </c>
      <c r="I88" s="121"/>
      <c r="J88" s="24"/>
      <c r="K88" s="195"/>
      <c r="L88" s="159"/>
      <c r="M88" s="24"/>
      <c r="N88" s="24"/>
    </row>
    <row r="89" spans="1:41" s="1" customFormat="1" ht="12.75" customHeight="1" x14ac:dyDescent="0.25">
      <c r="A89" s="1" t="s">
        <v>160</v>
      </c>
      <c r="B89" s="1274">
        <v>10</v>
      </c>
      <c r="C89" s="1274">
        <v>10</v>
      </c>
      <c r="D89" s="1274">
        <v>60</v>
      </c>
      <c r="E89" s="1274">
        <v>0</v>
      </c>
      <c r="F89" s="1275">
        <v>10</v>
      </c>
      <c r="G89" s="920">
        <v>20</v>
      </c>
      <c r="I89" s="121"/>
      <c r="J89" s="24"/>
      <c r="K89" s="195"/>
      <c r="L89" s="159"/>
      <c r="M89" s="24"/>
      <c r="N89" s="24"/>
    </row>
    <row r="90" spans="1:41" s="1" customFormat="1" ht="12.2" customHeight="1" x14ac:dyDescent="0.25">
      <c r="A90" s="1" t="s">
        <v>221</v>
      </c>
      <c r="B90" s="211" t="s">
        <v>161</v>
      </c>
      <c r="C90" s="211"/>
      <c r="D90" s="211"/>
      <c r="E90" s="211"/>
      <c r="F90" s="108"/>
      <c r="I90" s="121"/>
      <c r="J90" s="24"/>
      <c r="K90" s="195"/>
      <c r="L90" s="159"/>
      <c r="M90" s="24"/>
      <c r="N90" s="24"/>
    </row>
    <row r="91" spans="1:41" s="1" customFormat="1" ht="12.75" customHeight="1" x14ac:dyDescent="0.25">
      <c r="B91" s="211"/>
      <c r="C91" s="211"/>
      <c r="D91" s="211"/>
      <c r="E91" s="211"/>
      <c r="F91" s="108"/>
      <c r="I91" s="121"/>
      <c r="J91" s="24"/>
      <c r="K91" s="195"/>
      <c r="L91" s="159"/>
      <c r="M91" s="24"/>
      <c r="N91" s="24"/>
    </row>
    <row r="92" spans="1:41" s="1" customFormat="1" ht="31.5" customHeight="1" x14ac:dyDescent="0.4">
      <c r="A92" s="947" t="s">
        <v>414</v>
      </c>
      <c r="B92" s="948"/>
      <c r="C92" s="949"/>
      <c r="D92" s="949"/>
      <c r="E92" s="950"/>
      <c r="F92" s="951"/>
      <c r="G92" s="952"/>
      <c r="H92" s="952"/>
    </row>
    <row r="93" spans="1:41" ht="12" customHeight="1" x14ac:dyDescent="0.2">
      <c r="K93" s="1"/>
      <c r="M93" s="24"/>
      <c r="N93" s="101"/>
    </row>
    <row r="94" spans="1:41" s="1" customFormat="1" ht="26.25" x14ac:dyDescent="0.4">
      <c r="A94" s="953" t="s">
        <v>120</v>
      </c>
      <c r="B94" s="954"/>
      <c r="C94" s="955"/>
      <c r="D94" s="935"/>
      <c r="E94" s="956"/>
      <c r="F94" s="957"/>
      <c r="G94" s="957"/>
      <c r="H94" s="935"/>
      <c r="M94" s="24"/>
      <c r="N94" s="18"/>
    </row>
    <row r="95" spans="1:41" ht="25.5" x14ac:dyDescent="0.2">
      <c r="A95" s="1"/>
      <c r="B95" s="974" t="s">
        <v>588</v>
      </c>
      <c r="C95" s="1242" t="s">
        <v>553</v>
      </c>
      <c r="D95" s="1242" t="s">
        <v>548</v>
      </c>
      <c r="E95" s="351"/>
      <c r="F95" s="351"/>
      <c r="I95" s="24"/>
      <c r="J95" s="24"/>
      <c r="K95" s="24"/>
      <c r="L95" s="24"/>
      <c r="M95" s="24"/>
      <c r="N95" s="18"/>
    </row>
    <row r="96" spans="1:41" x14ac:dyDescent="0.2">
      <c r="A96" s="372" t="s">
        <v>60</v>
      </c>
      <c r="B96" s="1346">
        <v>1.22</v>
      </c>
      <c r="C96" s="1276">
        <v>0.02</v>
      </c>
      <c r="D96" s="1276">
        <v>0.02</v>
      </c>
      <c r="E96" s="97"/>
      <c r="F96" s="45"/>
      <c r="I96" s="191"/>
      <c r="J96" s="53"/>
      <c r="K96" s="53"/>
      <c r="L96" s="190"/>
      <c r="M96" s="24"/>
    </row>
    <row r="97" spans="1:13" x14ac:dyDescent="0.2">
      <c r="A97" s="212"/>
      <c r="B97" s="1347"/>
      <c r="C97" s="918"/>
      <c r="D97" s="855"/>
      <c r="I97" s="191"/>
      <c r="J97" s="57"/>
      <c r="K97" s="57"/>
      <c r="L97" s="57"/>
      <c r="M97" s="24"/>
    </row>
    <row r="98" spans="1:13" x14ac:dyDescent="0.2">
      <c r="A98" s="373" t="s">
        <v>121</v>
      </c>
      <c r="B98" s="919">
        <v>125</v>
      </c>
      <c r="C98" s="919">
        <v>0</v>
      </c>
      <c r="D98" s="919">
        <v>0</v>
      </c>
      <c r="F98" s="151"/>
      <c r="I98" s="51"/>
      <c r="J98" s="24"/>
      <c r="K98" s="51"/>
      <c r="L98" s="51"/>
      <c r="M98" s="24"/>
    </row>
    <row r="99" spans="1:13" x14ac:dyDescent="0.2">
      <c r="A99" s="154" t="s">
        <v>180</v>
      </c>
      <c r="B99" s="920">
        <v>1</v>
      </c>
      <c r="C99" s="920">
        <v>0</v>
      </c>
      <c r="D99" s="920">
        <v>0</v>
      </c>
      <c r="F99" s="151"/>
      <c r="I99" s="51"/>
      <c r="J99" s="24"/>
      <c r="K99" s="51"/>
      <c r="L99" s="51"/>
      <c r="M99" s="24"/>
    </row>
    <row r="100" spans="1:13" x14ac:dyDescent="0.2">
      <c r="A100" s="373" t="s">
        <v>122</v>
      </c>
      <c r="B100" s="919">
        <v>250</v>
      </c>
      <c r="C100" s="919">
        <v>0</v>
      </c>
      <c r="D100" s="919">
        <v>0</v>
      </c>
      <c r="F100" s="151"/>
      <c r="I100" s="51"/>
      <c r="J100" s="24"/>
      <c r="K100" s="193"/>
      <c r="L100" s="24"/>
      <c r="M100" s="24"/>
    </row>
    <row r="101" spans="1:13" x14ac:dyDescent="0.2">
      <c r="A101" s="154" t="s">
        <v>180</v>
      </c>
      <c r="B101" s="920">
        <v>1</v>
      </c>
      <c r="C101" s="920">
        <v>0</v>
      </c>
      <c r="D101" s="920">
        <v>0</v>
      </c>
      <c r="F101" s="13"/>
      <c r="I101" s="51"/>
      <c r="J101" s="24"/>
      <c r="K101" s="194"/>
      <c r="L101" s="24"/>
      <c r="M101" s="24"/>
    </row>
    <row r="102" spans="1:13" ht="12.75" customHeight="1" x14ac:dyDescent="0.25">
      <c r="A102" s="373" t="s">
        <v>123</v>
      </c>
      <c r="B102" s="919">
        <v>375</v>
      </c>
      <c r="C102" s="919">
        <v>0</v>
      </c>
      <c r="D102" s="919">
        <f>25000/3*2</f>
        <v>16666.666666666668</v>
      </c>
      <c r="F102" s="151"/>
      <c r="I102" s="121"/>
      <c r="J102" s="24"/>
      <c r="K102" s="195"/>
      <c r="L102" s="159"/>
      <c r="M102" s="24"/>
    </row>
    <row r="103" spans="1:13" x14ac:dyDescent="0.2">
      <c r="A103" s="154" t="s">
        <v>180</v>
      </c>
      <c r="B103" s="920">
        <v>1</v>
      </c>
      <c r="C103" s="920">
        <v>0</v>
      </c>
      <c r="D103" s="1274">
        <f>33/3*2</f>
        <v>22</v>
      </c>
      <c r="F103" s="13"/>
    </row>
    <row r="104" spans="1:13" x14ac:dyDescent="0.2">
      <c r="A104" s="1110" t="s">
        <v>555</v>
      </c>
      <c r="B104" s="919">
        <v>375</v>
      </c>
      <c r="C104" s="919">
        <f>20000/3*2</f>
        <v>13333.333333333334</v>
      </c>
      <c r="D104" s="919">
        <v>0</v>
      </c>
      <c r="F104" s="13"/>
    </row>
    <row r="105" spans="1:13" x14ac:dyDescent="0.2">
      <c r="A105" s="154" t="s">
        <v>180</v>
      </c>
      <c r="B105" s="920">
        <v>1</v>
      </c>
      <c r="C105" s="1274">
        <f>14/3*2</f>
        <v>9.3333333333333339</v>
      </c>
      <c r="D105" s="920">
        <v>0</v>
      </c>
      <c r="F105" s="13"/>
    </row>
    <row r="106" spans="1:13" x14ac:dyDescent="0.2">
      <c r="A106" s="373" t="s">
        <v>99</v>
      </c>
      <c r="B106" s="919">
        <v>500</v>
      </c>
      <c r="C106" s="919">
        <v>20000</v>
      </c>
      <c r="D106" s="919">
        <v>25000</v>
      </c>
    </row>
    <row r="107" spans="1:13" x14ac:dyDescent="0.2">
      <c r="A107" s="154" t="s">
        <v>180</v>
      </c>
      <c r="B107" s="920">
        <v>1</v>
      </c>
      <c r="C107" s="920">
        <v>14</v>
      </c>
      <c r="D107" s="1274">
        <v>33</v>
      </c>
    </row>
    <row r="109" spans="1:13" s="1" customFormat="1" ht="32.25" customHeight="1" x14ac:dyDescent="0.4">
      <c r="A109" s="953" t="s">
        <v>124</v>
      </c>
      <c r="B109" s="954"/>
      <c r="C109" s="955"/>
      <c r="D109" s="956"/>
      <c r="E109" s="956"/>
      <c r="F109" s="958"/>
      <c r="G109" s="1389"/>
      <c r="H109" s="1381"/>
    </row>
    <row r="110" spans="1:13" s="1" customFormat="1" ht="13.7" customHeight="1" x14ac:dyDescent="0.4">
      <c r="A110" s="1126"/>
      <c r="B110" s="1130"/>
      <c r="C110" s="1131"/>
      <c r="D110" s="1132"/>
      <c r="E110" s="818"/>
      <c r="F110" s="1128"/>
      <c r="G110" s="1128"/>
      <c r="H110" s="352"/>
    </row>
    <row r="111" spans="1:13" s="4" customFormat="1" ht="16.899999999999999" customHeight="1" x14ac:dyDescent="0.2">
      <c r="A111" s="1133" t="s">
        <v>580</v>
      </c>
      <c r="B111" s="124"/>
      <c r="C111" s="124" t="s">
        <v>18</v>
      </c>
      <c r="D111" s="124" t="s">
        <v>537</v>
      </c>
      <c r="E111" s="124" t="s">
        <v>538</v>
      </c>
      <c r="F111" s="124" t="s">
        <v>26</v>
      </c>
      <c r="G111" s="1128"/>
      <c r="H111" s="1129"/>
    </row>
    <row r="112" spans="1:13" s="1" customFormat="1" ht="16.899999999999999" customHeight="1" x14ac:dyDescent="0.2">
      <c r="A112" s="1390" t="s">
        <v>468</v>
      </c>
      <c r="B112" s="817" t="s">
        <v>539</v>
      </c>
      <c r="C112" s="817">
        <v>2</v>
      </c>
      <c r="D112" s="817">
        <f t="shared" ref="D112:D118" si="3">D126/3</f>
        <v>2.3000000000000003</v>
      </c>
      <c r="E112" s="1233">
        <f>415/25</f>
        <v>16.600000000000001</v>
      </c>
      <c r="F112" s="603">
        <f>C112*D112*E112</f>
        <v>76.360000000000014</v>
      </c>
      <c r="G112" s="1128"/>
      <c r="H112" s="352"/>
    </row>
    <row r="113" spans="1:8" s="1" customFormat="1" ht="16.899999999999999" customHeight="1" x14ac:dyDescent="0.2">
      <c r="A113" s="1390"/>
      <c r="B113" s="817" t="s">
        <v>574</v>
      </c>
      <c r="C113" s="817">
        <v>2</v>
      </c>
      <c r="D113" s="817">
        <f t="shared" si="3"/>
        <v>1.5999999999999999</v>
      </c>
      <c r="E113" s="1233">
        <f>85.8/25</f>
        <v>3.4319999999999999</v>
      </c>
      <c r="F113" s="603">
        <f>C113*D113*E113</f>
        <v>10.982399999999998</v>
      </c>
      <c r="G113" s="1128"/>
      <c r="H113" s="352"/>
    </row>
    <row r="114" spans="1:8" s="1" customFormat="1" ht="16.899999999999999" customHeight="1" x14ac:dyDescent="0.2">
      <c r="A114" s="1390"/>
      <c r="B114" s="817" t="s">
        <v>540</v>
      </c>
      <c r="C114" s="817">
        <v>2</v>
      </c>
      <c r="D114" s="1343">
        <f t="shared" si="3"/>
        <v>2.6666666666666665</v>
      </c>
      <c r="E114" s="1233">
        <f>262.65/25</f>
        <v>10.505999999999998</v>
      </c>
      <c r="F114" s="1236">
        <f t="shared" ref="F114:F118" si="4">C114*D114*E114</f>
        <v>56.031999999999989</v>
      </c>
      <c r="G114" s="1238">
        <f>SUM(F112:F114)</f>
        <v>143.37440000000001</v>
      </c>
      <c r="H114" s="352"/>
    </row>
    <row r="115" spans="1:8" s="1" customFormat="1" ht="16.899999999999999" customHeight="1" x14ac:dyDescent="0.2">
      <c r="A115" s="1390" t="s">
        <v>292</v>
      </c>
      <c r="B115" s="817" t="s">
        <v>541</v>
      </c>
      <c r="C115" s="817">
        <v>2</v>
      </c>
      <c r="D115" s="1343">
        <f t="shared" si="3"/>
        <v>10.666666666666666</v>
      </c>
      <c r="E115" s="1233">
        <f>1125.45/205</f>
        <v>5.49</v>
      </c>
      <c r="F115" s="603">
        <f t="shared" si="4"/>
        <v>117.12</v>
      </c>
      <c r="G115" s="1128"/>
      <c r="H115" s="352"/>
    </row>
    <row r="116" spans="1:8" s="1" customFormat="1" ht="16.899999999999999" customHeight="1" x14ac:dyDescent="0.2">
      <c r="A116" s="1390"/>
      <c r="B116" s="817" t="s">
        <v>542</v>
      </c>
      <c r="C116" s="817">
        <v>2</v>
      </c>
      <c r="D116" s="1343">
        <f t="shared" si="3"/>
        <v>1.5999999999999999</v>
      </c>
      <c r="E116" s="1233">
        <f>726.25/5</f>
        <v>145.25</v>
      </c>
      <c r="F116" s="603">
        <f t="shared" si="4"/>
        <v>464.79999999999995</v>
      </c>
      <c r="G116" s="1128"/>
      <c r="H116" s="352"/>
    </row>
    <row r="117" spans="1:8" s="1" customFormat="1" ht="16.899999999999999" customHeight="1" x14ac:dyDescent="0.2">
      <c r="A117" s="1390"/>
      <c r="B117" s="817" t="s">
        <v>544</v>
      </c>
      <c r="C117" s="817">
        <v>1</v>
      </c>
      <c r="D117" s="1343">
        <f t="shared" si="3"/>
        <v>0.26666666666666666</v>
      </c>
      <c r="E117" s="1233">
        <f>1412.9/5</f>
        <v>282.58000000000004</v>
      </c>
      <c r="F117" s="603">
        <f t="shared" si="4"/>
        <v>75.354666666666674</v>
      </c>
      <c r="G117" s="1128"/>
      <c r="H117" s="352"/>
    </row>
    <row r="118" spans="1:8" s="1" customFormat="1" ht="16.899999999999999" customHeight="1" x14ac:dyDescent="0.2">
      <c r="A118" s="1390"/>
      <c r="B118" s="817" t="s">
        <v>543</v>
      </c>
      <c r="C118" s="817">
        <v>1</v>
      </c>
      <c r="D118" s="1343">
        <f t="shared" si="3"/>
        <v>6.666666666666667</v>
      </c>
      <c r="E118" s="1233">
        <f>1981.1/200</f>
        <v>9.9055</v>
      </c>
      <c r="F118" s="1236">
        <f t="shared" si="4"/>
        <v>66.036666666666676</v>
      </c>
      <c r="G118" s="1238">
        <f>SUM(F115:F118)</f>
        <v>723.31133333333332</v>
      </c>
      <c r="H118" s="352"/>
    </row>
    <row r="119" spans="1:8" s="1" customFormat="1" ht="16.899999999999999" customHeight="1" x14ac:dyDescent="0.2">
      <c r="A119" s="151" t="s">
        <v>439</v>
      </c>
      <c r="B119" s="817"/>
      <c r="C119" s="1232">
        <v>0</v>
      </c>
      <c r="D119" s="817"/>
      <c r="E119" s="1233"/>
      <c r="F119" s="1237">
        <f>C119*D119*E119</f>
        <v>0</v>
      </c>
      <c r="G119" s="1238">
        <f>SUM(F119)</f>
        <v>0</v>
      </c>
      <c r="H119" s="352"/>
    </row>
    <row r="120" spans="1:8" s="1" customFormat="1" ht="16.899999999999999" customHeight="1" x14ac:dyDescent="0.2">
      <c r="A120" s="1134"/>
      <c r="B120" s="1144"/>
      <c r="C120" s="817">
        <f>SUM(C112:C119)</f>
        <v>12</v>
      </c>
      <c r="D120" s="1144"/>
      <c r="E120" s="1234"/>
      <c r="F120" s="1135"/>
      <c r="G120" s="1135"/>
      <c r="H120" s="352"/>
    </row>
    <row r="121" spans="1:8" s="1" customFormat="1" ht="16.899999999999999" customHeight="1" x14ac:dyDescent="0.2">
      <c r="A121" s="1134" t="s">
        <v>582</v>
      </c>
      <c r="B121" s="920">
        <v>9</v>
      </c>
      <c r="C121" s="1144"/>
      <c r="D121" s="1150"/>
      <c r="E121" s="1234"/>
      <c r="F121" s="1135"/>
      <c r="G121" s="1135"/>
      <c r="H121" s="352"/>
    </row>
    <row r="122" spans="1:8" s="1" customFormat="1" ht="16.899999999999999" customHeight="1" x14ac:dyDescent="0.2">
      <c r="A122" s="1134" t="s">
        <v>545</v>
      </c>
      <c r="B122" s="920">
        <v>3</v>
      </c>
      <c r="C122" s="1144"/>
      <c r="D122" s="1150"/>
      <c r="E122" s="1234"/>
      <c r="F122" s="1135"/>
      <c r="G122" s="1135"/>
      <c r="H122" s="352"/>
    </row>
    <row r="123" spans="1:8" s="1" customFormat="1" ht="16.899999999999999" customHeight="1" x14ac:dyDescent="0.3">
      <c r="A123" s="1134" t="s">
        <v>546</v>
      </c>
      <c r="B123" s="920">
        <v>6</v>
      </c>
      <c r="C123" s="1144"/>
      <c r="D123" s="1144"/>
      <c r="E123" s="1235"/>
      <c r="F123" s="1135"/>
      <c r="G123" s="1135"/>
      <c r="H123" s="352"/>
    </row>
    <row r="124" spans="1:8" s="1" customFormat="1" ht="16.899999999999999" customHeight="1" x14ac:dyDescent="0.3">
      <c r="A124" s="1134"/>
      <c r="B124" s="817"/>
      <c r="C124" s="1144"/>
      <c r="D124" s="1144"/>
      <c r="E124" s="1235"/>
      <c r="F124" s="1135"/>
      <c r="G124" s="1135"/>
      <c r="H124" s="352"/>
    </row>
    <row r="125" spans="1:8" s="4" customFormat="1" ht="16.899999999999999" customHeight="1" x14ac:dyDescent="0.2">
      <c r="A125" s="1133" t="s">
        <v>579</v>
      </c>
      <c r="B125" s="124"/>
      <c r="C125" s="124" t="s">
        <v>18</v>
      </c>
      <c r="D125" s="124" t="s">
        <v>537</v>
      </c>
      <c r="E125" s="124" t="s">
        <v>538</v>
      </c>
      <c r="F125" s="124" t="s">
        <v>26</v>
      </c>
      <c r="G125" s="1128"/>
      <c r="H125" s="1129"/>
    </row>
    <row r="126" spans="1:8" s="1" customFormat="1" ht="16.899999999999999" customHeight="1" x14ac:dyDescent="0.2">
      <c r="A126" s="1390" t="s">
        <v>468</v>
      </c>
      <c r="B126" s="817" t="s">
        <v>539</v>
      </c>
      <c r="C126" s="817">
        <v>2</v>
      </c>
      <c r="D126" s="817">
        <v>6.9</v>
      </c>
      <c r="E126" s="1233">
        <f>415/25</f>
        <v>16.600000000000001</v>
      </c>
      <c r="F126" s="603">
        <f>C126*D126*E126</f>
        <v>229.08000000000004</v>
      </c>
      <c r="G126" s="1128"/>
      <c r="H126" s="352"/>
    </row>
    <row r="127" spans="1:8" s="1" customFormat="1" ht="16.899999999999999" customHeight="1" x14ac:dyDescent="0.2">
      <c r="A127" s="1390"/>
      <c r="B127" s="817" t="s">
        <v>574</v>
      </c>
      <c r="C127" s="817">
        <v>2</v>
      </c>
      <c r="D127" s="817">
        <v>4.8</v>
      </c>
      <c r="E127" s="1233">
        <f>85.8/25</f>
        <v>3.4319999999999999</v>
      </c>
      <c r="F127" s="603">
        <f>C127*D127*E127</f>
        <v>32.947199999999995</v>
      </c>
      <c r="G127" s="1128"/>
      <c r="H127" s="352"/>
    </row>
    <row r="128" spans="1:8" s="1" customFormat="1" ht="16.899999999999999" customHeight="1" x14ac:dyDescent="0.2">
      <c r="A128" s="1390"/>
      <c r="B128" s="817" t="s">
        <v>540</v>
      </c>
      <c r="C128" s="817">
        <v>2</v>
      </c>
      <c r="D128" s="817">
        <v>8</v>
      </c>
      <c r="E128" s="1233">
        <f>262.65/25</f>
        <v>10.505999999999998</v>
      </c>
      <c r="F128" s="1236">
        <f t="shared" ref="F128:F132" si="5">C128*D128*E128</f>
        <v>168.09599999999998</v>
      </c>
      <c r="G128" s="1238">
        <f>SUM(F126:F128)</f>
        <v>430.1232</v>
      </c>
      <c r="H128" s="352"/>
    </row>
    <row r="129" spans="1:8" s="1" customFormat="1" ht="16.899999999999999" customHeight="1" x14ac:dyDescent="0.2">
      <c r="A129" s="1390" t="s">
        <v>292</v>
      </c>
      <c r="B129" s="817" t="s">
        <v>541</v>
      </c>
      <c r="C129" s="817">
        <v>2</v>
      </c>
      <c r="D129" s="817">
        <v>32</v>
      </c>
      <c r="E129" s="1233">
        <f>1125.45/205</f>
        <v>5.49</v>
      </c>
      <c r="F129" s="603">
        <f t="shared" si="5"/>
        <v>351.36</v>
      </c>
      <c r="G129" s="1128"/>
      <c r="H129" s="352"/>
    </row>
    <row r="130" spans="1:8" s="1" customFormat="1" ht="16.899999999999999" customHeight="1" x14ac:dyDescent="0.2">
      <c r="A130" s="1390"/>
      <c r="B130" s="817" t="s">
        <v>542</v>
      </c>
      <c r="C130" s="817">
        <v>2</v>
      </c>
      <c r="D130" s="817">
        <v>4.8</v>
      </c>
      <c r="E130" s="1233">
        <f>726.25/5</f>
        <v>145.25</v>
      </c>
      <c r="F130" s="603">
        <f t="shared" si="5"/>
        <v>1394.3999999999999</v>
      </c>
      <c r="G130" s="1128"/>
      <c r="H130" s="352"/>
    </row>
    <row r="131" spans="1:8" s="1" customFormat="1" ht="16.899999999999999" customHeight="1" x14ac:dyDescent="0.2">
      <c r="A131" s="1390"/>
      <c r="B131" s="817" t="s">
        <v>544</v>
      </c>
      <c r="C131" s="817">
        <v>1</v>
      </c>
      <c r="D131" s="817">
        <v>0.8</v>
      </c>
      <c r="E131" s="1233">
        <f>1412.9/5</f>
        <v>282.58000000000004</v>
      </c>
      <c r="F131" s="603">
        <f t="shared" si="5"/>
        <v>226.06400000000005</v>
      </c>
      <c r="G131" s="1128"/>
      <c r="H131" s="352"/>
    </row>
    <row r="132" spans="1:8" s="1" customFormat="1" ht="16.899999999999999" customHeight="1" x14ac:dyDescent="0.2">
      <c r="A132" s="1390"/>
      <c r="B132" s="817" t="s">
        <v>543</v>
      </c>
      <c r="C132" s="817">
        <v>1</v>
      </c>
      <c r="D132" s="817">
        <v>20</v>
      </c>
      <c r="E132" s="1233">
        <f>1981.1/200</f>
        <v>9.9055</v>
      </c>
      <c r="F132" s="1236">
        <f t="shared" si="5"/>
        <v>198.11</v>
      </c>
      <c r="G132" s="1238">
        <f>SUM(F129:F132)</f>
        <v>2169.9339999999997</v>
      </c>
      <c r="H132" s="352"/>
    </row>
    <row r="133" spans="1:8" s="1" customFormat="1" ht="16.899999999999999" customHeight="1" x14ac:dyDescent="0.2">
      <c r="A133" s="151" t="s">
        <v>439</v>
      </c>
      <c r="B133" s="817"/>
      <c r="C133" s="1232">
        <v>0</v>
      </c>
      <c r="D133" s="817"/>
      <c r="E133" s="1233"/>
      <c r="F133" s="1237">
        <f>C133*D133*E133</f>
        <v>0</v>
      </c>
      <c r="G133" s="1238">
        <f>SUM(F133)</f>
        <v>0</v>
      </c>
      <c r="H133" s="352"/>
    </row>
    <row r="134" spans="1:8" s="1" customFormat="1" ht="16.899999999999999" customHeight="1" x14ac:dyDescent="0.2">
      <c r="A134" s="1134"/>
      <c r="B134" s="1144"/>
      <c r="C134" s="817">
        <f>SUM(C126:C133)</f>
        <v>12</v>
      </c>
      <c r="D134" s="1144"/>
      <c r="E134" s="1234"/>
      <c r="F134" s="1135"/>
      <c r="G134" s="1135"/>
      <c r="H134" s="352"/>
    </row>
    <row r="135" spans="1:8" s="1" customFormat="1" ht="16.899999999999999" customHeight="1" x14ac:dyDescent="0.2">
      <c r="A135" s="1134" t="s">
        <v>469</v>
      </c>
      <c r="B135" s="920">
        <v>9</v>
      </c>
      <c r="C135" s="1144"/>
      <c r="D135" s="1150"/>
      <c r="E135" s="1234"/>
      <c r="F135" s="1135"/>
      <c r="G135" s="1135"/>
      <c r="H135" s="352"/>
    </row>
    <row r="136" spans="1:8" s="1" customFormat="1" ht="16.899999999999999" customHeight="1" x14ac:dyDescent="0.2">
      <c r="A136" s="1134" t="s">
        <v>545</v>
      </c>
      <c r="B136" s="920">
        <v>3</v>
      </c>
      <c r="C136" s="1144"/>
      <c r="D136" s="1150"/>
      <c r="E136" s="1234"/>
      <c r="F136" s="1135"/>
      <c r="G136" s="1135"/>
      <c r="H136" s="352"/>
    </row>
    <row r="137" spans="1:8" s="1" customFormat="1" ht="16.899999999999999" customHeight="1" x14ac:dyDescent="0.3">
      <c r="A137" s="1134" t="s">
        <v>546</v>
      </c>
      <c r="B137" s="920">
        <v>6</v>
      </c>
      <c r="C137" s="1144"/>
      <c r="D137" s="1144"/>
      <c r="E137" s="1235"/>
      <c r="F137" s="1135"/>
      <c r="G137" s="1135"/>
      <c r="H137" s="352"/>
    </row>
    <row r="138" spans="1:8" s="1" customFormat="1" ht="16.899999999999999" customHeight="1" x14ac:dyDescent="0.3">
      <c r="A138" s="1154"/>
      <c r="B138" s="1144"/>
      <c r="C138" s="1144"/>
      <c r="D138" s="1144"/>
      <c r="E138" s="1235"/>
      <c r="F138" s="1135"/>
      <c r="G138" s="1135"/>
      <c r="H138" s="352"/>
    </row>
    <row r="139" spans="1:8" s="1" customFormat="1" ht="16.899999999999999" customHeight="1" x14ac:dyDescent="0.2">
      <c r="A139" s="1133" t="s">
        <v>547</v>
      </c>
      <c r="B139" s="124"/>
      <c r="C139" s="124" t="s">
        <v>18</v>
      </c>
      <c r="D139" s="124" t="s">
        <v>537</v>
      </c>
      <c r="E139" s="124" t="s">
        <v>538</v>
      </c>
      <c r="F139" s="124" t="s">
        <v>26</v>
      </c>
      <c r="H139" s="352"/>
    </row>
    <row r="140" spans="1:8" s="1" customFormat="1" ht="16.899999999999999" customHeight="1" x14ac:dyDescent="0.2">
      <c r="A140" s="1245" t="s">
        <v>468</v>
      </c>
      <c r="B140" s="817" t="s">
        <v>539</v>
      </c>
      <c r="C140" s="817">
        <v>1</v>
      </c>
      <c r="D140" s="817">
        <v>6.9</v>
      </c>
      <c r="E140" s="1233">
        <f>415/25</f>
        <v>16.600000000000001</v>
      </c>
      <c r="F140" s="1236">
        <f>C140*D140*E140</f>
        <v>114.54000000000002</v>
      </c>
      <c r="G140" s="1238">
        <f>SUM(F140)</f>
        <v>114.54000000000002</v>
      </c>
      <c r="H140" s="352"/>
    </row>
    <row r="141" spans="1:8" s="1" customFormat="1" ht="16.899999999999999" customHeight="1" x14ac:dyDescent="0.2">
      <c r="A141" s="1390" t="s">
        <v>292</v>
      </c>
      <c r="B141" s="817" t="s">
        <v>541</v>
      </c>
      <c r="C141" s="817">
        <v>2</v>
      </c>
      <c r="D141" s="817">
        <v>32</v>
      </c>
      <c r="E141" s="1233">
        <f>1125.45/205</f>
        <v>5.49</v>
      </c>
      <c r="F141" s="603">
        <f t="shared" ref="F141:F142" si="6">C141*D141*E141</f>
        <v>351.36</v>
      </c>
      <c r="G141" s="1128"/>
      <c r="H141" s="352"/>
    </row>
    <row r="142" spans="1:8" s="1" customFormat="1" ht="16.899999999999999" customHeight="1" x14ac:dyDescent="0.2">
      <c r="A142" s="1390"/>
      <c r="B142" s="817" t="s">
        <v>542</v>
      </c>
      <c r="C142" s="817">
        <v>2</v>
      </c>
      <c r="D142" s="817">
        <v>4.8</v>
      </c>
      <c r="E142" s="1233">
        <f>726.25/5</f>
        <v>145.25</v>
      </c>
      <c r="F142" s="1236">
        <f t="shared" si="6"/>
        <v>1394.3999999999999</v>
      </c>
      <c r="G142" s="1238">
        <f>SUM(F141:F142)</f>
        <v>1745.7599999999998</v>
      </c>
      <c r="H142" s="352"/>
    </row>
    <row r="143" spans="1:8" s="1" customFormat="1" ht="16.899999999999999" customHeight="1" x14ac:dyDescent="0.2">
      <c r="A143" s="1134" t="s">
        <v>439</v>
      </c>
      <c r="B143" s="817"/>
      <c r="C143" s="1232">
        <v>0</v>
      </c>
      <c r="D143" s="817"/>
      <c r="E143" s="1234"/>
      <c r="F143" s="1237">
        <f>C143*D143*E143</f>
        <v>0</v>
      </c>
      <c r="G143" s="1238">
        <f>SUM(F143)</f>
        <v>0</v>
      </c>
      <c r="H143" s="352"/>
    </row>
    <row r="144" spans="1:8" s="1" customFormat="1" ht="16.899999999999999" customHeight="1" x14ac:dyDescent="0.2">
      <c r="A144" s="1134"/>
      <c r="B144" s="1144"/>
      <c r="C144" s="817">
        <f>SUM(C140:C143)</f>
        <v>5</v>
      </c>
      <c r="D144" s="1144"/>
      <c r="E144" s="1234"/>
      <c r="F144" s="1135"/>
      <c r="G144" s="1135"/>
      <c r="H144" s="352"/>
    </row>
    <row r="145" spans="1:11" s="1" customFormat="1" ht="16.899999999999999" customHeight="1" x14ac:dyDescent="0.2">
      <c r="A145" s="1134" t="s">
        <v>469</v>
      </c>
      <c r="B145" s="920">
        <v>5</v>
      </c>
      <c r="C145" s="1144"/>
      <c r="D145" s="1150"/>
      <c r="E145" s="1234"/>
      <c r="F145" s="1135"/>
      <c r="G145" s="1135"/>
      <c r="H145" s="352"/>
    </row>
    <row r="146" spans="1:11" s="1" customFormat="1" ht="16.899999999999999" customHeight="1" x14ac:dyDescent="0.2">
      <c r="A146" s="1134" t="s">
        <v>545</v>
      </c>
      <c r="B146" s="920">
        <v>3</v>
      </c>
      <c r="C146" s="1144"/>
      <c r="D146" s="1150"/>
      <c r="E146" s="1234"/>
      <c r="F146" s="1135"/>
      <c r="G146" s="1135"/>
      <c r="H146" s="352"/>
    </row>
    <row r="147" spans="1:11" s="1" customFormat="1" ht="16.899999999999999" customHeight="1" x14ac:dyDescent="0.3">
      <c r="A147" s="1134" t="s">
        <v>546</v>
      </c>
      <c r="B147" s="920">
        <v>4</v>
      </c>
      <c r="C147" s="1144"/>
      <c r="D147" s="1144"/>
      <c r="E147" s="1235"/>
      <c r="F147" s="1135"/>
      <c r="G147" s="1135"/>
      <c r="H147" s="352"/>
    </row>
    <row r="148" spans="1:11" s="24" customFormat="1" ht="16.899999999999999" customHeight="1" x14ac:dyDescent="0.3">
      <c r="B148" s="152"/>
      <c r="C148" s="138"/>
      <c r="D148" s="57"/>
      <c r="E148" s="57"/>
      <c r="F148" s="57"/>
    </row>
    <row r="149" spans="1:11" ht="26.25" x14ac:dyDescent="0.4">
      <c r="A149" s="365"/>
      <c r="B149" s="368" t="s">
        <v>27</v>
      </c>
      <c r="C149" s="369" t="s">
        <v>165</v>
      </c>
      <c r="D149" s="371"/>
      <c r="E149" s="371"/>
      <c r="F149" s="1374"/>
      <c r="G149" s="1384"/>
      <c r="H149" s="1384"/>
    </row>
    <row r="150" spans="1:11" x14ac:dyDescent="0.2">
      <c r="A150" s="97"/>
      <c r="B150" s="218"/>
      <c r="D150" s="13"/>
      <c r="E150" s="13"/>
      <c r="F150" s="13"/>
      <c r="G150" s="18"/>
    </row>
    <row r="151" spans="1:11" x14ac:dyDescent="0.2">
      <c r="A151" s="97"/>
      <c r="B151" s="133" t="s">
        <v>222</v>
      </c>
      <c r="D151" s="13"/>
      <c r="E151" s="13"/>
      <c r="F151" s="13"/>
      <c r="G151" s="18"/>
    </row>
    <row r="152" spans="1:11" x14ac:dyDescent="0.2">
      <c r="A152" s="97"/>
      <c r="B152" s="133" t="s">
        <v>422</v>
      </c>
    </row>
    <row r="153" spans="1:11" x14ac:dyDescent="0.2">
      <c r="A153" s="97"/>
      <c r="B153" s="18"/>
      <c r="C153" s="131"/>
      <c r="D153" s="13"/>
      <c r="E153" s="13"/>
      <c r="F153" s="13"/>
    </row>
    <row r="154" spans="1:11" ht="15.75" x14ac:dyDescent="0.25">
      <c r="A154" s="97"/>
      <c r="B154" s="431" t="s">
        <v>111</v>
      </c>
      <c r="C154" s="138"/>
      <c r="D154" s="13"/>
      <c r="E154" s="13"/>
      <c r="F154" s="13"/>
    </row>
    <row r="155" spans="1:11" ht="18" customHeight="1" x14ac:dyDescent="0.2">
      <c r="A155" s="154" t="s">
        <v>28</v>
      </c>
      <c r="B155" s="104" t="s">
        <v>399</v>
      </c>
      <c r="D155" s="138">
        <f>I173</f>
        <v>41</v>
      </c>
      <c r="E155" s="151"/>
      <c r="G155" s="167"/>
    </row>
    <row r="156" spans="1:11" ht="18" customHeight="1" x14ac:dyDescent="0.2">
      <c r="A156" s="154"/>
      <c r="B156" s="104"/>
      <c r="D156" s="131"/>
      <c r="E156" s="151"/>
      <c r="G156" s="167"/>
    </row>
    <row r="157" spans="1:11" x14ac:dyDescent="0.2">
      <c r="A157" s="154"/>
      <c r="B157" s="1"/>
      <c r="D157" s="131"/>
      <c r="G157" s="173" t="s">
        <v>138</v>
      </c>
      <c r="H157" s="481" t="s">
        <v>139</v>
      </c>
      <c r="I157" s="48" t="s">
        <v>105</v>
      </c>
    </row>
    <row r="158" spans="1:11" x14ac:dyDescent="0.2">
      <c r="A158" s="97"/>
      <c r="C158" s="119" t="s">
        <v>127</v>
      </c>
      <c r="D158" s="122" t="s">
        <v>130</v>
      </c>
      <c r="E158" s="48" t="s">
        <v>18</v>
      </c>
      <c r="G158" s="174" t="s">
        <v>140</v>
      </c>
      <c r="H158" s="174" t="s">
        <v>140</v>
      </c>
      <c r="I158" s="174" t="s">
        <v>140</v>
      </c>
    </row>
    <row r="159" spans="1:11" x14ac:dyDescent="0.2">
      <c r="A159" s="154" t="s">
        <v>125</v>
      </c>
      <c r="B159" s="20" t="s">
        <v>445</v>
      </c>
      <c r="C159" s="904">
        <v>1</v>
      </c>
      <c r="D159" s="679">
        <f t="shared" ref="D159:D168" si="7">I159</f>
        <v>37</v>
      </c>
      <c r="E159" s="146" t="s">
        <v>128</v>
      </c>
      <c r="G159" s="1092"/>
      <c r="H159" s="1092">
        <v>11.67</v>
      </c>
      <c r="I159" s="1091">
        <v>37</v>
      </c>
      <c r="J159" s="710"/>
      <c r="K159" s="482"/>
    </row>
    <row r="160" spans="1:11" x14ac:dyDescent="0.2">
      <c r="A160" s="154"/>
      <c r="B160" s="20" t="s">
        <v>581</v>
      </c>
      <c r="C160" s="1277">
        <v>1.5</v>
      </c>
      <c r="D160" s="679">
        <v>16</v>
      </c>
      <c r="E160" s="146" t="s">
        <v>128</v>
      </c>
      <c r="G160" s="1092"/>
      <c r="H160" s="1092">
        <v>11.49</v>
      </c>
      <c r="I160" s="1091">
        <v>16</v>
      </c>
      <c r="J160" s="710"/>
      <c r="K160" s="482"/>
    </row>
    <row r="161" spans="1:12" x14ac:dyDescent="0.2">
      <c r="A161" s="97"/>
      <c r="B161" s="4" t="s">
        <v>109</v>
      </c>
      <c r="C161" s="904">
        <v>1</v>
      </c>
      <c r="D161" s="679">
        <f>I161</f>
        <v>18</v>
      </c>
      <c r="E161" s="146" t="s">
        <v>129</v>
      </c>
      <c r="G161" s="1092"/>
      <c r="H161" s="324">
        <v>7.03</v>
      </c>
      <c r="I161" s="1091">
        <v>18</v>
      </c>
      <c r="J161" s="711"/>
      <c r="K161" s="482"/>
    </row>
    <row r="162" spans="1:12" x14ac:dyDescent="0.2">
      <c r="A162" s="97"/>
      <c r="B162" s="20" t="s">
        <v>550</v>
      </c>
      <c r="C162" s="904">
        <f>1/2.6</f>
        <v>0.38461538461538458</v>
      </c>
      <c r="D162" s="1247">
        <f>I162</f>
        <v>44</v>
      </c>
      <c r="E162" s="1248" t="s">
        <v>573</v>
      </c>
      <c r="G162" s="324"/>
      <c r="H162" s="324">
        <v>11.37</v>
      </c>
      <c r="I162" s="1091">
        <v>44</v>
      </c>
      <c r="J162" s="710"/>
      <c r="K162" s="482"/>
    </row>
    <row r="163" spans="1:12" x14ac:dyDescent="0.2">
      <c r="A163" s="97"/>
      <c r="B163" s="4" t="s">
        <v>551</v>
      </c>
      <c r="C163" s="1277">
        <v>2</v>
      </c>
      <c r="D163" s="1247">
        <f>I163</f>
        <v>130</v>
      </c>
      <c r="E163" s="1248" t="s">
        <v>552</v>
      </c>
      <c r="G163" s="324"/>
      <c r="H163" s="324">
        <v>21.94</v>
      </c>
      <c r="I163" s="1091">
        <v>130</v>
      </c>
      <c r="J163" s="710"/>
      <c r="K163" s="482"/>
    </row>
    <row r="164" spans="1:12" x14ac:dyDescent="0.2">
      <c r="A164" s="97"/>
      <c r="B164" s="20" t="s">
        <v>575</v>
      </c>
      <c r="C164" s="1277">
        <v>1</v>
      </c>
      <c r="D164" s="1247">
        <f>I164</f>
        <v>38</v>
      </c>
      <c r="E164" s="1248" t="s">
        <v>552</v>
      </c>
      <c r="G164" s="324"/>
      <c r="H164" s="324">
        <v>8.75</v>
      </c>
      <c r="I164" s="1091">
        <v>38</v>
      </c>
      <c r="J164" s="710"/>
      <c r="K164" s="482"/>
    </row>
    <row r="165" spans="1:12" x14ac:dyDescent="0.2">
      <c r="A165" s="97"/>
      <c r="B165" s="97" t="s">
        <v>355</v>
      </c>
      <c r="C165" s="922">
        <v>0.1</v>
      </c>
      <c r="D165" s="680">
        <f t="shared" si="7"/>
        <v>25</v>
      </c>
      <c r="E165" s="12" t="s">
        <v>188</v>
      </c>
      <c r="G165" s="1092"/>
      <c r="H165" s="1092">
        <v>1.53</v>
      </c>
      <c r="I165" s="1091">
        <v>25</v>
      </c>
      <c r="J165" s="710"/>
      <c r="K165" s="482"/>
    </row>
    <row r="166" spans="1:12" x14ac:dyDescent="0.2">
      <c r="A166" s="97"/>
      <c r="B166" s="20" t="s">
        <v>396</v>
      </c>
      <c r="C166" s="904">
        <v>0.5</v>
      </c>
      <c r="D166" s="679">
        <f>I166</f>
        <v>42</v>
      </c>
      <c r="E166" s="856">
        <v>6</v>
      </c>
      <c r="G166" s="1092"/>
      <c r="H166" s="1092">
        <v>14.5</v>
      </c>
      <c r="I166" s="1091">
        <v>42</v>
      </c>
      <c r="J166" s="710"/>
      <c r="K166" s="482"/>
    </row>
    <row r="167" spans="1:12" x14ac:dyDescent="0.2">
      <c r="A167" s="97"/>
      <c r="B167" s="84" t="s">
        <v>68</v>
      </c>
      <c r="C167" s="904">
        <v>3</v>
      </c>
      <c r="D167" s="679">
        <f t="shared" si="7"/>
        <v>68.3</v>
      </c>
      <c r="E167" s="856">
        <v>1</v>
      </c>
      <c r="G167" s="924">
        <v>39.26</v>
      </c>
      <c r="H167" s="924">
        <v>29.05</v>
      </c>
      <c r="I167" s="324">
        <f>ROUND(G167+H167,1)</f>
        <v>68.3</v>
      </c>
      <c r="J167" s="710"/>
      <c r="K167" s="482"/>
    </row>
    <row r="168" spans="1:12" x14ac:dyDescent="0.2">
      <c r="A168" s="97"/>
      <c r="B168" s="728" t="s">
        <v>512</v>
      </c>
      <c r="C168" s="904">
        <v>100</v>
      </c>
      <c r="D168" s="679">
        <f t="shared" si="7"/>
        <v>17.5</v>
      </c>
      <c r="E168" s="12" t="s">
        <v>421</v>
      </c>
      <c r="F168" s="69"/>
      <c r="G168" s="324"/>
      <c r="H168" s="324">
        <v>3.98</v>
      </c>
      <c r="I168" s="1091">
        <v>17.5</v>
      </c>
      <c r="J168" s="710"/>
      <c r="K168" s="482"/>
    </row>
    <row r="169" spans="1:12" x14ac:dyDescent="0.2">
      <c r="A169" s="97"/>
      <c r="B169" s="84" t="s">
        <v>181</v>
      </c>
      <c r="C169" s="32"/>
      <c r="D169" s="923">
        <v>500</v>
      </c>
      <c r="G169" s="175"/>
      <c r="H169" s="175"/>
      <c r="I169" s="175"/>
      <c r="J169" s="711"/>
    </row>
    <row r="170" spans="1:12" x14ac:dyDescent="0.2">
      <c r="A170" s="97"/>
      <c r="C170" s="32"/>
      <c r="D170" s="132"/>
      <c r="G170" s="175"/>
      <c r="H170" s="175"/>
      <c r="I170" s="175"/>
      <c r="J170" s="711"/>
    </row>
    <row r="171" spans="1:12" ht="17.45" customHeight="1" x14ac:dyDescent="0.25">
      <c r="A171" s="97"/>
      <c r="B171" s="431" t="s">
        <v>118</v>
      </c>
      <c r="E171" s="13"/>
      <c r="F171" s="13"/>
      <c r="G171" s="173" t="s">
        <v>138</v>
      </c>
      <c r="H171" s="173" t="s">
        <v>139</v>
      </c>
      <c r="I171" s="48" t="s">
        <v>105</v>
      </c>
      <c r="J171" s="711"/>
    </row>
    <row r="172" spans="1:12" ht="17.45" customHeight="1" x14ac:dyDescent="0.2">
      <c r="A172" s="97"/>
      <c r="B172" s="100"/>
      <c r="C172" s="176" t="s">
        <v>92</v>
      </c>
      <c r="D172" s="134" t="s">
        <v>25</v>
      </c>
      <c r="E172" s="13"/>
      <c r="F172" s="13"/>
      <c r="G172" s="174" t="s">
        <v>25</v>
      </c>
      <c r="H172" s="174" t="s">
        <v>25</v>
      </c>
      <c r="I172" s="174" t="s">
        <v>25</v>
      </c>
      <c r="J172" s="711"/>
    </row>
    <row r="173" spans="1:12" x14ac:dyDescent="0.2">
      <c r="A173" s="154" t="s">
        <v>28</v>
      </c>
      <c r="B173" s="84" t="s">
        <v>446</v>
      </c>
      <c r="C173" s="32" t="s">
        <v>5</v>
      </c>
      <c r="D173" s="138">
        <f>I173</f>
        <v>41</v>
      </c>
      <c r="E173" s="13"/>
      <c r="F173" s="13"/>
      <c r="G173" s="1090"/>
      <c r="H173" s="1158">
        <v>20</v>
      </c>
      <c r="I173" s="1091">
        <v>41</v>
      </c>
      <c r="J173" s="710"/>
      <c r="K173" s="482"/>
    </row>
    <row r="174" spans="1:12" x14ac:dyDescent="0.2">
      <c r="A174" s="154" t="s">
        <v>125</v>
      </c>
      <c r="B174" s="97" t="s">
        <v>189</v>
      </c>
      <c r="C174" s="904">
        <v>1.5</v>
      </c>
      <c r="D174" s="138">
        <f>I174</f>
        <v>52</v>
      </c>
      <c r="E174" s="13"/>
      <c r="F174" s="13"/>
      <c r="G174" s="1090"/>
      <c r="H174" s="1090"/>
      <c r="I174" s="1091">
        <v>52</v>
      </c>
      <c r="J174" s="710"/>
      <c r="K174" s="482"/>
      <c r="L174" t="s">
        <v>177</v>
      </c>
    </row>
    <row r="175" spans="1:12" x14ac:dyDescent="0.2">
      <c r="A175" s="97"/>
      <c r="B175" s="4" t="s">
        <v>447</v>
      </c>
      <c r="C175" s="904">
        <v>2</v>
      </c>
      <c r="D175" s="138">
        <f>I175</f>
        <v>62</v>
      </c>
      <c r="E175" s="13"/>
      <c r="F175" s="13"/>
      <c r="G175" s="1090"/>
      <c r="H175" s="1090"/>
      <c r="I175" s="1091">
        <v>62</v>
      </c>
      <c r="J175" s="710"/>
      <c r="K175" s="482"/>
      <c r="L175" t="s">
        <v>177</v>
      </c>
    </row>
    <row r="176" spans="1:12" x14ac:dyDescent="0.2">
      <c r="A176" s="97"/>
      <c r="B176" s="97" t="s">
        <v>108</v>
      </c>
      <c r="C176" s="904">
        <v>1</v>
      </c>
      <c r="D176" s="138">
        <f>I176</f>
        <v>90</v>
      </c>
      <c r="E176" s="13"/>
      <c r="F176" s="13"/>
      <c r="G176" s="1090"/>
      <c r="H176" s="1090"/>
      <c r="I176" s="1091">
        <v>90</v>
      </c>
      <c r="J176" s="710"/>
      <c r="K176" s="482"/>
      <c r="L176" t="s">
        <v>177</v>
      </c>
    </row>
    <row r="177" spans="1:11" x14ac:dyDescent="0.2">
      <c r="A177" s="97"/>
      <c r="B177" s="97" t="s">
        <v>110</v>
      </c>
      <c r="C177" s="925">
        <v>0.1</v>
      </c>
      <c r="D177" s="680">
        <f>I177</f>
        <v>25</v>
      </c>
      <c r="F177" s="146"/>
      <c r="G177" s="1090"/>
      <c r="H177" s="1090"/>
      <c r="I177" s="1091">
        <v>25</v>
      </c>
      <c r="J177" s="710"/>
      <c r="K177" s="482"/>
    </row>
    <row r="178" spans="1:11" x14ac:dyDescent="0.2">
      <c r="A178" s="97"/>
      <c r="B178" s="84" t="s">
        <v>29</v>
      </c>
      <c r="D178" s="906">
        <v>220</v>
      </c>
      <c r="H178" s="175"/>
      <c r="I178" s="175"/>
    </row>
    <row r="179" spans="1:11" x14ac:dyDescent="0.2">
      <c r="H179" s="175"/>
      <c r="I179" s="175"/>
    </row>
    <row r="180" spans="1:11" ht="26.25" x14ac:dyDescent="0.4">
      <c r="A180" s="346" t="s">
        <v>21</v>
      </c>
      <c r="B180" s="367"/>
      <c r="C180" s="354"/>
      <c r="D180" s="355"/>
      <c r="E180" s="355"/>
      <c r="F180" s="355"/>
      <c r="G180" s="1374"/>
      <c r="H180" s="1375"/>
    </row>
    <row r="181" spans="1:11" x14ac:dyDescent="0.2">
      <c r="C181" s="251" t="s">
        <v>211</v>
      </c>
      <c r="D181" s="48" t="s">
        <v>212</v>
      </c>
      <c r="E181" s="48" t="s">
        <v>214</v>
      </c>
      <c r="F181" s="48" t="s">
        <v>235</v>
      </c>
      <c r="G181" s="48" t="s">
        <v>236</v>
      </c>
      <c r="H181" s="48" t="s">
        <v>397</v>
      </c>
    </row>
    <row r="182" spans="1:11" ht="18" x14ac:dyDescent="0.25">
      <c r="A182" s="71" t="s">
        <v>164</v>
      </c>
      <c r="B182" t="s">
        <v>578</v>
      </c>
      <c r="C182" s="182">
        <f>(F182*H182)/1000</f>
        <v>405</v>
      </c>
      <c r="D182" s="924">
        <v>1.5</v>
      </c>
      <c r="E182" s="45"/>
      <c r="F182" s="857">
        <v>30</v>
      </c>
      <c r="G182" s="857">
        <v>15</v>
      </c>
      <c r="H182" s="45">
        <f>B11*G182</f>
        <v>13500</v>
      </c>
    </row>
    <row r="183" spans="1:11" x14ac:dyDescent="0.2">
      <c r="B183" t="s">
        <v>213</v>
      </c>
      <c r="C183" s="182">
        <f>(F183*H183)/1000</f>
        <v>1701</v>
      </c>
      <c r="D183" s="924">
        <f>Eingabeseite!D32</f>
        <v>1.5</v>
      </c>
      <c r="E183" s="45"/>
      <c r="F183" s="857">
        <v>126</v>
      </c>
      <c r="G183" s="857">
        <v>15</v>
      </c>
      <c r="H183" s="45">
        <f>B11*G183</f>
        <v>13500</v>
      </c>
      <c r="K183" s="482"/>
    </row>
    <row r="184" spans="1:11" x14ac:dyDescent="0.2">
      <c r="B184" t="s">
        <v>209</v>
      </c>
      <c r="E184" s="857">
        <v>0</v>
      </c>
    </row>
    <row r="185" spans="1:11" x14ac:dyDescent="0.2">
      <c r="E185" s="45"/>
    </row>
    <row r="186" spans="1:11" ht="18" customHeight="1" x14ac:dyDescent="0.25">
      <c r="A186" s="71" t="s">
        <v>170</v>
      </c>
      <c r="C186" s="132" t="s">
        <v>216</v>
      </c>
      <c r="E186" s="857">
        <v>400</v>
      </c>
    </row>
    <row r="187" spans="1:11" x14ac:dyDescent="0.2">
      <c r="C187" s="132" t="s">
        <v>43</v>
      </c>
      <c r="E187" s="857">
        <v>0</v>
      </c>
    </row>
    <row r="188" spans="1:11" x14ac:dyDescent="0.2">
      <c r="C188" s="132" t="s">
        <v>44</v>
      </c>
      <c r="E188" s="857">
        <v>0</v>
      </c>
    </row>
    <row r="189" spans="1:11" x14ac:dyDescent="0.2">
      <c r="C189" s="132" t="s">
        <v>45</v>
      </c>
      <c r="E189" s="12" t="s">
        <v>217</v>
      </c>
    </row>
    <row r="191" spans="1:11" ht="26.25" x14ac:dyDescent="0.4">
      <c r="A191" s="346" t="s">
        <v>465</v>
      </c>
      <c r="B191" s="367"/>
      <c r="C191" s="354"/>
      <c r="D191" s="355"/>
      <c r="E191" s="355"/>
      <c r="F191" s="355"/>
      <c r="G191" s="1374"/>
      <c r="H191" s="1375"/>
    </row>
    <row r="192" spans="1:11" x14ac:dyDescent="0.2">
      <c r="A192" t="s">
        <v>464</v>
      </c>
      <c r="B192">
        <v>5000</v>
      </c>
    </row>
    <row r="194" spans="1:8" ht="26.25" x14ac:dyDescent="0.4">
      <c r="A194" s="346" t="s">
        <v>505</v>
      </c>
      <c r="B194" s="367"/>
      <c r="C194" s="354"/>
      <c r="D194" s="355"/>
      <c r="E194" s="355"/>
      <c r="F194" s="355"/>
      <c r="G194" s="1374"/>
      <c r="H194" s="1375"/>
    </row>
    <row r="195" spans="1:8" x14ac:dyDescent="0.2">
      <c r="A195" s="20"/>
      <c r="B195" t="str">
        <f>Eingabeseite!A30</f>
        <v>Hagelnetz (ja = 1, nein = 0)</v>
      </c>
      <c r="C195" s="857">
        <f>Eingabeseite!D30</f>
        <v>0</v>
      </c>
      <c r="D195"/>
      <c r="E195"/>
      <c r="F195"/>
    </row>
  </sheetData>
  <mergeCells count="16">
    <mergeCell ref="G194:H194"/>
    <mergeCell ref="B3:G3"/>
    <mergeCell ref="A5:B5"/>
    <mergeCell ref="C5:H5"/>
    <mergeCell ref="A19:B19"/>
    <mergeCell ref="G191:H191"/>
    <mergeCell ref="F149:H149"/>
    <mergeCell ref="G180:H180"/>
    <mergeCell ref="D29:E29"/>
    <mergeCell ref="G62:H62"/>
    <mergeCell ref="G109:H109"/>
    <mergeCell ref="A126:A128"/>
    <mergeCell ref="A129:A132"/>
    <mergeCell ref="A141:A142"/>
    <mergeCell ref="A112:A114"/>
    <mergeCell ref="A115:A118"/>
  </mergeCells>
  <phoneticPr fontId="25" type="noConversion"/>
  <dataValidations count="2">
    <dataValidation type="custom" showErrorMessage="1" errorTitle="Falsche Bruttofläche" error="Die Bruttofläche entspricht nicht 10000 m2" sqref="E12:E13 J97" xr:uid="{00000000-0002-0000-0100-000000000000}">
      <formula1>E11*E12=10000</formula1>
    </dataValidation>
    <dataValidation type="whole" operator="notEqual" showErrorMessage="1" errorTitle="Falsche Länge" error="Es muss eine Länge eingetragen sein" sqref="J96 E11" xr:uid="{00000000-0002-0000-0100-000001000000}">
      <formula1>0</formula1>
    </dataValidation>
  </dataValidations>
  <printOptions gridLines="1" gridLinesSet="0"/>
  <pageMargins left="0.59055118110236227" right="0.39370078740157483" top="0.59055118110236227" bottom="0.59055118110236227" header="0.51181102362204722" footer="0.51181102362204722"/>
  <pageSetup paperSize="9" scale="47" orientation="portrait" r:id="rId1"/>
  <headerFooter alignWithMargins="0">
    <oddFooter>&amp;L&amp;6&amp;F&amp;C&amp;6&amp;A &amp;R&amp;6Kontakt: matthias.zuercher@faw.admin.ch</oddFooter>
  </headerFooter>
  <rowBreaks count="1" manualBreakCount="1">
    <brk id="9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VarErstellung">
    <tabColor rgb="FFFF66CC"/>
  </sheetPr>
  <dimension ref="A1:AO184"/>
  <sheetViews>
    <sheetView zoomScale="90" zoomScaleNormal="90" workbookViewId="0">
      <selection activeCell="I4" sqref="I4"/>
    </sheetView>
  </sheetViews>
  <sheetFormatPr baseColWidth="10" defaultColWidth="11.42578125" defaultRowHeight="12.75" x14ac:dyDescent="0.2"/>
  <cols>
    <col min="1" max="1" width="30.85546875" customWidth="1"/>
    <col min="2" max="2" width="33.42578125" customWidth="1"/>
    <col min="3" max="3" width="20" customWidth="1"/>
    <col min="4" max="4" width="20.28515625" customWidth="1"/>
    <col min="5" max="5" width="17.7109375" customWidth="1"/>
    <col min="6" max="7" width="13.5703125" customWidth="1"/>
    <col min="8" max="8" width="7.85546875" style="18" customWidth="1"/>
    <col min="9" max="9" width="19.28515625" style="18" customWidth="1"/>
    <col min="10" max="10" width="13.140625" style="18" customWidth="1"/>
    <col min="11" max="11" width="11.7109375" style="18" customWidth="1"/>
    <col min="12" max="12" width="12.7109375" style="18" customWidth="1"/>
    <col min="13" max="41" width="11.42578125" style="18" customWidth="1"/>
  </cols>
  <sheetData>
    <row r="1" spans="1:41" ht="45.75" customHeight="1" x14ac:dyDescent="0.4">
      <c r="A1" s="346" t="str">
        <f>'Var Vorgaben'!A1</f>
        <v>Arbokost 2024</v>
      </c>
      <c r="B1" s="331" t="str">
        <f>'Var Vorgaben'!B8</f>
        <v>Tafelkirsche</v>
      </c>
      <c r="C1" s="328"/>
      <c r="D1" s="336"/>
      <c r="E1" s="328"/>
      <c r="F1" s="333"/>
      <c r="G1" s="328"/>
    </row>
    <row r="2" spans="1:41" ht="24.75" customHeight="1" x14ac:dyDescent="0.3">
      <c r="A2" s="1093" t="s">
        <v>242</v>
      </c>
      <c r="B2" s="566">
        <f>Eingabeseite!D21</f>
        <v>900</v>
      </c>
      <c r="C2" s="328"/>
      <c r="D2" s="328"/>
      <c r="E2" s="328"/>
      <c r="F2" s="328"/>
      <c r="G2" s="569"/>
      <c r="H2" s="195"/>
    </row>
    <row r="3" spans="1:41" ht="42.75" customHeight="1" x14ac:dyDescent="0.25">
      <c r="A3" s="329" t="s">
        <v>243</v>
      </c>
      <c r="B3" s="1376" t="s">
        <v>240</v>
      </c>
      <c r="C3" s="1376"/>
      <c r="D3" s="1376"/>
      <c r="E3" s="1376"/>
      <c r="F3" s="1376"/>
      <c r="G3" s="1376"/>
      <c r="H3" s="195"/>
    </row>
    <row r="4" spans="1:41" s="1" customFormat="1" ht="15" customHeight="1" x14ac:dyDescent="0.35">
      <c r="A4" s="51" t="s">
        <v>472</v>
      </c>
      <c r="B4" s="20"/>
      <c r="C4" s="1138"/>
      <c r="D4" s="1349">
        <v>0.18</v>
      </c>
      <c r="E4" s="327"/>
      <c r="F4" s="327"/>
      <c r="K4" s="441"/>
      <c r="L4" s="442"/>
      <c r="M4" s="442"/>
      <c r="N4" s="102"/>
      <c r="O4" s="443"/>
      <c r="P4" s="102"/>
      <c r="Q4" s="102"/>
    </row>
    <row r="5" spans="1:41" s="1" customFormat="1" ht="35.450000000000003" customHeight="1" x14ac:dyDescent="0.35">
      <c r="A5" s="1094" t="s">
        <v>375</v>
      </c>
      <c r="B5" s="1095"/>
      <c r="C5" s="1096" t="s">
        <v>245</v>
      </c>
      <c r="D5" s="1095"/>
      <c r="E5" s="1097"/>
      <c r="F5" s="1095"/>
      <c r="G5" s="1095"/>
      <c r="H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 customFormat="1" ht="15.75" customHeight="1" x14ac:dyDescent="0.3">
      <c r="A6" s="152"/>
      <c r="E6" s="443"/>
      <c r="G6" s="1139" t="s">
        <v>126</v>
      </c>
      <c r="H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27" customHeight="1" thickBot="1" x14ac:dyDescent="0.35">
      <c r="A7" s="444" t="s">
        <v>147</v>
      </c>
      <c r="B7" s="353"/>
      <c r="C7" s="354" t="str">
        <f>'Var Vorgaben'!C15</f>
        <v>Nutzungsdauer:</v>
      </c>
      <c r="D7" s="355"/>
      <c r="E7" s="356"/>
      <c r="F7" s="355"/>
      <c r="G7" s="357"/>
      <c r="I7" s="18" t="s">
        <v>244</v>
      </c>
    </row>
    <row r="8" spans="1:41" s="1" customFormat="1" ht="13.5" thickBot="1" x14ac:dyDescent="0.25">
      <c r="A8" s="104" t="s">
        <v>241</v>
      </c>
      <c r="B8" s="97" t="str">
        <f>'Var Vorgaben'!B15</f>
        <v>Ja, Folie im 3. Stj. und 9. Stj.</v>
      </c>
      <c r="C8" s="681">
        <f>'Var Vorgaben'!D15</f>
        <v>6</v>
      </c>
      <c r="D8" s="267" t="s">
        <v>151</v>
      </c>
      <c r="E8" s="14"/>
      <c r="F8" s="14"/>
      <c r="G8" s="203"/>
      <c r="H8" s="24"/>
      <c r="I8" s="267" t="s">
        <v>151</v>
      </c>
      <c r="J8" s="14"/>
      <c r="K8" s="14"/>
      <c r="L8" s="203"/>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s="1" customFormat="1" x14ac:dyDescent="0.2">
      <c r="A9" s="3" t="s">
        <v>591</v>
      </c>
      <c r="B9" s="97" t="str">
        <f>'Var Vorgaben'!B17</f>
        <v>Ja, Netz im 3. Stj. und 10. Stj.</v>
      </c>
      <c r="C9" s="681" t="str">
        <f>'Var Vorgaben'!D17</f>
        <v>7 Jahre</v>
      </c>
      <c r="D9" s="202"/>
      <c r="E9" s="14" t="s">
        <v>0</v>
      </c>
      <c r="F9" s="15" t="s">
        <v>1</v>
      </c>
      <c r="G9" s="203" t="s">
        <v>2</v>
      </c>
      <c r="H9" s="18"/>
      <c r="I9" s="202"/>
      <c r="J9" s="893" t="s">
        <v>0</v>
      </c>
      <c r="K9" s="894" t="s">
        <v>1</v>
      </c>
      <c r="L9" s="203" t="s">
        <v>2</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x14ac:dyDescent="0.2">
      <c r="A10" s="97" t="str">
        <f>'Var Vorgaben'!A16</f>
        <v>Versicherung Regendach</v>
      </c>
      <c r="B10" s="97" t="str">
        <f>'Var Vorgaben'!B16</f>
        <v>Ja</v>
      </c>
      <c r="C10" s="1"/>
      <c r="D10" s="204" t="s">
        <v>3</v>
      </c>
      <c r="E10" s="53">
        <f>'Standard Erstellung'!E10</f>
        <v>125</v>
      </c>
      <c r="F10" s="53">
        <f>'Standard Erstellung'!F10</f>
        <v>120</v>
      </c>
      <c r="G10" s="703">
        <f>'Standard Erstellung'!G10</f>
        <v>9.9999999999999978E-2</v>
      </c>
      <c r="I10" s="204" t="s">
        <v>3</v>
      </c>
      <c r="J10" s="895">
        <v>125</v>
      </c>
      <c r="K10" s="896">
        <v>120</v>
      </c>
      <c r="L10" s="521">
        <f>1-(K12/J12)</f>
        <v>9.9999999999999978E-2</v>
      </c>
    </row>
    <row r="11" spans="1:41" x14ac:dyDescent="0.2">
      <c r="A11" s="97" t="s">
        <v>94</v>
      </c>
      <c r="B11" s="97" t="str">
        <f>'Var Vorgaben'!B18</f>
        <v>Ja</v>
      </c>
      <c r="C11" s="1"/>
      <c r="D11" s="204" t="s">
        <v>4</v>
      </c>
      <c r="E11" s="53">
        <f>'Standard Erstellung'!E11</f>
        <v>80</v>
      </c>
      <c r="F11" s="53">
        <f>'Standard Erstellung'!F11</f>
        <v>75</v>
      </c>
      <c r="G11" s="271"/>
      <c r="I11" s="204" t="s">
        <v>4</v>
      </c>
      <c r="J11" s="897">
        <v>80</v>
      </c>
      <c r="K11" s="898">
        <v>75</v>
      </c>
      <c r="L11" s="205"/>
    </row>
    <row r="12" spans="1:41" ht="26.25" thickBot="1" x14ac:dyDescent="0.25">
      <c r="A12" s="513" t="s">
        <v>415</v>
      </c>
      <c r="B12" s="1"/>
      <c r="C12" s="1"/>
      <c r="D12" s="206" t="s">
        <v>6</v>
      </c>
      <c r="E12" s="512">
        <f>'Standard Erstellung'!E12</f>
        <v>10000</v>
      </c>
      <c r="F12" s="512">
        <f>'Standard Erstellung'!F12</f>
        <v>9000</v>
      </c>
      <c r="G12" s="272"/>
      <c r="I12" s="206" t="s">
        <v>6</v>
      </c>
      <c r="J12" s="591">
        <f>J10*J11</f>
        <v>10000</v>
      </c>
      <c r="K12" s="592">
        <f>K10*K11</f>
        <v>9000</v>
      </c>
      <c r="L12" s="593">
        <f>J12-K12</f>
        <v>1000</v>
      </c>
    </row>
    <row r="13" spans="1:41" x14ac:dyDescent="0.2">
      <c r="A13" s="24" t="s">
        <v>83</v>
      </c>
      <c r="B13" s="682">
        <f>'Var Vorgaben'!$B$22</f>
        <v>4</v>
      </c>
      <c r="D13" s="207" t="s">
        <v>8</v>
      </c>
      <c r="E13" s="24"/>
      <c r="F13" s="56">
        <f>'Standard Erstellung'!F13</f>
        <v>4</v>
      </c>
      <c r="G13" s="271"/>
      <c r="I13" s="207" t="s">
        <v>8</v>
      </c>
      <c r="J13" s="24"/>
      <c r="K13" s="1293">
        <v>4</v>
      </c>
      <c r="L13" s="900" t="s">
        <v>9</v>
      </c>
    </row>
    <row r="14" spans="1:41" ht="13.7" customHeight="1" x14ac:dyDescent="0.2">
      <c r="A14" s="24" t="s">
        <v>93</v>
      </c>
      <c r="B14" s="682">
        <f>'Var Vorgaben'!$B$23</f>
        <v>16</v>
      </c>
      <c r="D14" s="207" t="s">
        <v>11</v>
      </c>
      <c r="E14" s="24"/>
      <c r="F14" s="53">
        <f>'Standard Erstellung'!F14</f>
        <v>2.5</v>
      </c>
      <c r="G14" s="271"/>
      <c r="I14" s="207" t="s">
        <v>11</v>
      </c>
      <c r="J14" s="24"/>
      <c r="K14" s="899">
        <v>2.5</v>
      </c>
      <c r="L14" s="900" t="s">
        <v>9</v>
      </c>
    </row>
    <row r="15" spans="1:41" x14ac:dyDescent="0.2">
      <c r="A15" s="121" t="s">
        <v>10</v>
      </c>
      <c r="B15" s="683">
        <f>'Var Vorgaben'!$B$24</f>
        <v>12</v>
      </c>
      <c r="D15" s="207" t="s">
        <v>12</v>
      </c>
      <c r="E15" s="24"/>
      <c r="F15" s="53">
        <f>'Standard Erstellung'!F15</f>
        <v>19</v>
      </c>
      <c r="G15" s="273"/>
      <c r="H15" s="101"/>
      <c r="I15" s="207" t="s">
        <v>12</v>
      </c>
      <c r="J15" s="24"/>
      <c r="K15" s="194">
        <f>ROUND((K11/K13),0)</f>
        <v>19</v>
      </c>
      <c r="L15" s="201"/>
    </row>
    <row r="16" spans="1:41" ht="13.5" customHeight="1" thickBot="1" x14ac:dyDescent="0.3">
      <c r="C16" s="24"/>
      <c r="D16" s="208" t="s">
        <v>146</v>
      </c>
      <c r="E16" s="704"/>
      <c r="F16" s="270">
        <f>Eingabeseite!D21</f>
        <v>900</v>
      </c>
      <c r="G16" s="705"/>
      <c r="I16" s="208" t="s">
        <v>146</v>
      </c>
      <c r="J16" s="1294">
        <v>900</v>
      </c>
      <c r="K16" s="522">
        <f>ROUND(((K10/K14)+1),0)*ROUND(K15,0)</f>
        <v>931</v>
      </c>
      <c r="L16" s="268"/>
    </row>
    <row r="17" spans="1:41" x14ac:dyDescent="0.2">
      <c r="C17" s="24"/>
    </row>
    <row r="18" spans="1:41" ht="12.75" customHeight="1" x14ac:dyDescent="0.2">
      <c r="A18" s="1"/>
      <c r="B18" s="1"/>
      <c r="D18" s="21"/>
      <c r="J18" s="24"/>
      <c r="K18" s="269"/>
      <c r="L18" s="24"/>
    </row>
    <row r="19" spans="1:41" ht="18.75" customHeight="1" x14ac:dyDescent="0.3">
      <c r="A19" s="376" t="s">
        <v>569</v>
      </c>
      <c r="B19" s="436"/>
      <c r="C19" s="436"/>
      <c r="D19" s="436"/>
      <c r="E19" s="436" t="s">
        <v>423</v>
      </c>
      <c r="F19" s="436"/>
      <c r="G19" s="436"/>
    </row>
    <row r="20" spans="1:41" s="17" customFormat="1" x14ac:dyDescent="0.2">
      <c r="A20"/>
      <c r="B20" s="3"/>
      <c r="C20" s="23" t="s">
        <v>18</v>
      </c>
      <c r="D20" s="23" t="s">
        <v>19</v>
      </c>
      <c r="E20" s="123" t="s">
        <v>20</v>
      </c>
      <c r="F20" s="124"/>
      <c r="G20" s="23"/>
      <c r="H20" s="22"/>
      <c r="I20" s="99"/>
      <c r="J20" s="99"/>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1" x14ac:dyDescent="0.2">
      <c r="A21" s="3" t="s">
        <v>15</v>
      </c>
      <c r="B21" s="1"/>
      <c r="C21" s="182">
        <f>F16</f>
        <v>900</v>
      </c>
      <c r="D21" s="61">
        <f>'Var Vorgaben'!C26</f>
        <v>22</v>
      </c>
      <c r="E21" s="79">
        <f>C21*D21</f>
        <v>19800</v>
      </c>
      <c r="F21" s="232">
        <f>E21/E58</f>
        <v>0.74048299836076525</v>
      </c>
      <c r="G21" s="5"/>
    </row>
    <row r="22" spans="1:41" x14ac:dyDescent="0.2">
      <c r="A22" s="3" t="s">
        <v>186</v>
      </c>
      <c r="B22" s="4" t="s">
        <v>448</v>
      </c>
      <c r="C22" s="182">
        <f>F16</f>
        <v>900</v>
      </c>
      <c r="D22" s="901">
        <f>0.83*(1+$D$4)</f>
        <v>0.97939999999999994</v>
      </c>
      <c r="E22" s="79">
        <f>C22*D22</f>
        <v>881.45999999999992</v>
      </c>
      <c r="F22" s="126">
        <f>E22/E58</f>
        <v>3.2964956754296969E-2</v>
      </c>
      <c r="G22" s="112"/>
    </row>
    <row r="23" spans="1:41" x14ac:dyDescent="0.2">
      <c r="A23" s="1"/>
      <c r="B23" s="1"/>
      <c r="C23" s="6"/>
      <c r="D23" s="30"/>
      <c r="E23" s="197"/>
      <c r="F23" s="125"/>
      <c r="G23" s="1"/>
    </row>
    <row r="24" spans="1:41" x14ac:dyDescent="0.2">
      <c r="A24" s="3" t="s">
        <v>21</v>
      </c>
      <c r="B24" s="1"/>
      <c r="C24" s="6"/>
      <c r="D24" s="30"/>
      <c r="E24" s="197"/>
      <c r="F24" s="125"/>
      <c r="G24" s="1"/>
    </row>
    <row r="25" spans="1:41" x14ac:dyDescent="0.2">
      <c r="A25" s="1110" t="s">
        <v>566</v>
      </c>
      <c r="B25" s="23" t="s">
        <v>18</v>
      </c>
      <c r="C25" s="23" t="s">
        <v>59</v>
      </c>
      <c r="D25" s="23" t="s">
        <v>19</v>
      </c>
      <c r="E25" s="123" t="s">
        <v>20</v>
      </c>
      <c r="F25" s="124"/>
      <c r="G25" s="23"/>
    </row>
    <row r="26" spans="1:41" x14ac:dyDescent="0.2">
      <c r="A26" s="4" t="str">
        <f>'Var Vorgaben'!B95</f>
        <v>Biorga N (12 %)</v>
      </c>
      <c r="B26" s="12">
        <f>'Var Vorgaben'!B99</f>
        <v>1</v>
      </c>
      <c r="C26" s="1340">
        <f>'Var Vorgaben'!B98</f>
        <v>125</v>
      </c>
      <c r="D26" s="1339">
        <f>'Var Vorgaben'!B96*(1+Eingabeseite!C28)</f>
        <v>1.22</v>
      </c>
      <c r="E26" s="43">
        <f>C26*D26</f>
        <v>152.5</v>
      </c>
      <c r="F26" s="127">
        <f>E26/E58</f>
        <v>5.7032150126271062E-3</v>
      </c>
      <c r="G26" s="5"/>
    </row>
    <row r="27" spans="1:41" x14ac:dyDescent="0.2">
      <c r="A27" s="4" t="str">
        <f>'Var Vorgaben'!C95</f>
        <v>Mist 
(Frischsubstanz)</v>
      </c>
      <c r="B27" s="12">
        <f>'Var Vorgaben'!C99</f>
        <v>0</v>
      </c>
      <c r="C27" s="1340">
        <f>'Var Vorgaben'!C98</f>
        <v>0</v>
      </c>
      <c r="D27" s="1339">
        <f>'Var Vorgaben'!C96*(1+Eingabeseite!C28)</f>
        <v>0.02</v>
      </c>
      <c r="E27" s="43">
        <f>C27*D27</f>
        <v>0</v>
      </c>
      <c r="F27" s="127">
        <f>E27/E58</f>
        <v>0</v>
      </c>
      <c r="G27" s="5"/>
    </row>
    <row r="28" spans="1:41" x14ac:dyDescent="0.2">
      <c r="A28" s="4" t="str">
        <f>'Var Vorgaben'!D95</f>
        <v>Kompost (Trockensubstanz)</v>
      </c>
      <c r="B28" s="12">
        <f>'Var Vorgaben'!D99</f>
        <v>0</v>
      </c>
      <c r="C28" s="1340">
        <f>'Var Vorgaben'!D98</f>
        <v>0</v>
      </c>
      <c r="D28" s="1339">
        <f>'Var Vorgaben'!D96*(1+Eingabeseite!C28)</f>
        <v>0.02</v>
      </c>
      <c r="E28" s="114">
        <f>C28*D28</f>
        <v>0</v>
      </c>
      <c r="F28" s="127">
        <f>E28/E58</f>
        <v>0</v>
      </c>
      <c r="G28" s="5"/>
    </row>
    <row r="29" spans="1:41" x14ac:dyDescent="0.2">
      <c r="A29" s="1"/>
      <c r="B29" s="1" t="s">
        <v>37</v>
      </c>
      <c r="C29" s="902">
        <v>40</v>
      </c>
      <c r="D29" s="901">
        <v>7.2</v>
      </c>
      <c r="E29" s="43">
        <f>C29*D29</f>
        <v>288</v>
      </c>
      <c r="F29" s="127">
        <f>E29/E58</f>
        <v>1.0770661794338403E-2</v>
      </c>
      <c r="G29" s="5"/>
    </row>
    <row r="30" spans="1:41" x14ac:dyDescent="0.2">
      <c r="A30" s="1"/>
      <c r="B30" s="1" t="s">
        <v>22</v>
      </c>
      <c r="C30" s="6"/>
      <c r="D30" s="45"/>
      <c r="E30" s="901">
        <v>150</v>
      </c>
      <c r="F30" s="127">
        <f>E30/E58</f>
        <v>5.6097196845512516E-3</v>
      </c>
      <c r="G30" s="5"/>
    </row>
    <row r="31" spans="1:41" x14ac:dyDescent="0.2">
      <c r="A31" s="1"/>
      <c r="B31" s="1" t="s">
        <v>187</v>
      </c>
      <c r="C31" s="6"/>
      <c r="D31" s="45"/>
      <c r="E31" s="903">
        <v>500</v>
      </c>
      <c r="F31" s="127">
        <f>E31/E58</f>
        <v>1.8699065615170839E-2</v>
      </c>
      <c r="G31" s="5"/>
    </row>
    <row r="32" spans="1:41" x14ac:dyDescent="0.2">
      <c r="A32" s="1"/>
      <c r="B32" s="1"/>
      <c r="C32" s="1"/>
      <c r="D32" s="61"/>
      <c r="E32" s="79">
        <f>SUM(E26:E31)</f>
        <v>1090.5</v>
      </c>
      <c r="F32" s="232">
        <f>E32/E58</f>
        <v>4.0782662106687601E-2</v>
      </c>
      <c r="G32" s="5"/>
    </row>
    <row r="33" spans="1:7" ht="15.75" x14ac:dyDescent="0.25">
      <c r="A33" s="446" t="s">
        <v>23</v>
      </c>
      <c r="B33" s="432"/>
      <c r="C33" s="468"/>
      <c r="D33" s="469"/>
      <c r="E33" s="470">
        <f>E32+E22+E21</f>
        <v>21771.96</v>
      </c>
      <c r="F33" s="471">
        <f>E33/E58</f>
        <v>0.81423061722174972</v>
      </c>
      <c r="G33" s="472"/>
    </row>
    <row r="34" spans="1:7" x14ac:dyDescent="0.2">
      <c r="A34" s="3"/>
      <c r="B34" s="1"/>
      <c r="C34" s="119" t="s">
        <v>92</v>
      </c>
      <c r="D34" s="122" t="s">
        <v>25</v>
      </c>
      <c r="E34" s="120" t="s">
        <v>20</v>
      </c>
      <c r="F34" s="516"/>
      <c r="G34" s="517"/>
    </row>
    <row r="35" spans="1:7" x14ac:dyDescent="0.2">
      <c r="A35" s="3" t="s">
        <v>27</v>
      </c>
      <c r="B35" s="1" t="str">
        <f>'Var Vorgaben'!B174</f>
        <v>Spatenmaschine 2m</v>
      </c>
      <c r="C35" s="46">
        <f>'Var Vorgaben'!C174</f>
        <v>1.5</v>
      </c>
      <c r="D35" s="256">
        <f>'Var Vorgaben'!D174*(1+Eingabeseite!C24)</f>
        <v>52</v>
      </c>
      <c r="E35" s="43">
        <f>C35*D35</f>
        <v>78</v>
      </c>
      <c r="F35" s="127">
        <f>E35/E58</f>
        <v>2.9170542359666508E-3</v>
      </c>
      <c r="G35" s="5" t="s">
        <v>190</v>
      </c>
    </row>
    <row r="36" spans="1:7" x14ac:dyDescent="0.2">
      <c r="A36" s="235"/>
      <c r="B36" s="1" t="str">
        <f>'Var Vorgaben'!B175</f>
        <v xml:space="preserve">Bodenfräse mit Stabkrümler 2.1m </v>
      </c>
      <c r="C36" s="46">
        <f>'Var Vorgaben'!C175</f>
        <v>2</v>
      </c>
      <c r="D36" s="256">
        <f>'Var Vorgaben'!D175*(1+Eingabeseite!C24)</f>
        <v>62</v>
      </c>
      <c r="E36" s="43">
        <f>C36*D36</f>
        <v>124</v>
      </c>
      <c r="F36" s="127">
        <f>E36/E58</f>
        <v>4.6373682725623679E-3</v>
      </c>
      <c r="G36" s="5" t="s">
        <v>190</v>
      </c>
    </row>
    <row r="37" spans="1:7" x14ac:dyDescent="0.2">
      <c r="A37" s="1342">
        <f>B26</f>
        <v>1</v>
      </c>
      <c r="B37" s="4" t="str">
        <f>'Standard Vorgaben'!B161</f>
        <v>Düngerstreuer Einkasten 2.5 m</v>
      </c>
      <c r="C37" s="1343">
        <f>'Var Vorgaben'!C161*A37</f>
        <v>1</v>
      </c>
      <c r="D37" s="1344">
        <f>'Var Vorgaben'!D161*(1+Eingabeseite!C24)</f>
        <v>18</v>
      </c>
      <c r="E37" s="43">
        <f>C37*D37</f>
        <v>18</v>
      </c>
      <c r="F37" s="127">
        <f>E37/E58</f>
        <v>6.731663621461502E-4</v>
      </c>
      <c r="G37" s="1169"/>
    </row>
    <row r="38" spans="1:7" x14ac:dyDescent="0.2">
      <c r="A38" s="1342">
        <f>B27+B28</f>
        <v>0</v>
      </c>
      <c r="B38" s="4" t="str">
        <f>'Var Vorgaben'!B162</f>
        <v>Kompoststreuer für Obstanlagen, um 3m³</v>
      </c>
      <c r="C38" s="1343">
        <f>'Var Vorgaben'!C162*A38</f>
        <v>0</v>
      </c>
      <c r="D38" s="1345">
        <f>'Var Vorgaben'!D162*(1+Eingabeseite!C24)</f>
        <v>44</v>
      </c>
      <c r="E38" s="43">
        <f>D38*A38</f>
        <v>0</v>
      </c>
      <c r="F38" s="127">
        <f>E38/E58</f>
        <v>0</v>
      </c>
      <c r="G38" s="1169"/>
    </row>
    <row r="39" spans="1:7" x14ac:dyDescent="0.2">
      <c r="A39" s="1"/>
      <c r="B39" s="1" t="str">
        <f>'Var Vorgaben'!B176</f>
        <v>Sämaschine 3 m</v>
      </c>
      <c r="C39" s="46">
        <f>'Var Vorgaben'!C176</f>
        <v>1</v>
      </c>
      <c r="D39" s="256">
        <f>'Var Vorgaben'!D176*(1+Eingabeseite!C24)</f>
        <v>90</v>
      </c>
      <c r="E39" s="43">
        <f>C39*D39</f>
        <v>90</v>
      </c>
      <c r="F39" s="127">
        <f>E39/E58</f>
        <v>3.3658318107307509E-3</v>
      </c>
      <c r="G39" s="5"/>
    </row>
    <row r="40" spans="1:7" ht="13.5" thickBot="1" x14ac:dyDescent="0.25">
      <c r="A40" s="1"/>
      <c r="B40" s="1" t="str">
        <f>'Var Vorgaben'!B177</f>
        <v>Pneuwagen 2achsig, 3 t</v>
      </c>
      <c r="C40" s="686">
        <f>(C52+C53)*'Var Vorgaben'!C177</f>
        <v>8.5</v>
      </c>
      <c r="D40" s="256">
        <f>'Var Vorgaben'!D177*(1+Eingabeseite!C24)</f>
        <v>25</v>
      </c>
      <c r="E40" s="198">
        <f>C40*D40</f>
        <v>212.5</v>
      </c>
      <c r="F40" s="127">
        <f>E40/E58</f>
        <v>7.9471028864476056E-3</v>
      </c>
      <c r="G40" s="5"/>
    </row>
    <row r="41" spans="1:7" x14ac:dyDescent="0.2">
      <c r="A41" s="1"/>
      <c r="B41" s="1"/>
      <c r="C41" s="685">
        <f>SUM(C35:C40)</f>
        <v>14</v>
      </c>
      <c r="D41" s="256"/>
      <c r="E41" s="43">
        <f>SUM(E35:E40)</f>
        <v>522.5</v>
      </c>
      <c r="F41" s="125">
        <f>E41/E58</f>
        <v>1.9540523567853525E-2</v>
      </c>
      <c r="G41" s="5"/>
    </row>
    <row r="42" spans="1:7" x14ac:dyDescent="0.2">
      <c r="A42" s="3" t="s">
        <v>28</v>
      </c>
      <c r="B42" s="1" t="str">
        <f>'Var Vorgaben'!$B$173</f>
        <v>Obstbautraktor 4-Rad (45-54 kW, 61-73 PS)</v>
      </c>
      <c r="C42" s="50">
        <f>C41</f>
        <v>14</v>
      </c>
      <c r="D42" s="256">
        <f>'Var Vorgaben'!$D$173*(1+Eingabeseite!$C$24)</f>
        <v>41</v>
      </c>
      <c r="E42" s="43">
        <f>C42*D42</f>
        <v>574</v>
      </c>
      <c r="F42" s="127">
        <f>E42/E58</f>
        <v>2.1466527326216123E-2</v>
      </c>
      <c r="G42" s="5"/>
    </row>
    <row r="43" spans="1:7" ht="13.5" thickBot="1" x14ac:dyDescent="0.25">
      <c r="A43" s="1" t="s">
        <v>29</v>
      </c>
      <c r="B43" s="1"/>
      <c r="C43" s="46"/>
      <c r="D43" s="61"/>
      <c r="E43" s="198">
        <f>'Var Vorgaben'!D178</f>
        <v>220</v>
      </c>
      <c r="F43" s="127">
        <f>E43/E58</f>
        <v>8.2275888706751683E-3</v>
      </c>
      <c r="G43" s="5"/>
    </row>
    <row r="44" spans="1:7" x14ac:dyDescent="0.2">
      <c r="A44" s="3" t="s">
        <v>30</v>
      </c>
      <c r="B44" s="1"/>
      <c r="C44" s="46"/>
      <c r="D44" s="61"/>
      <c r="E44" s="79">
        <f>E41+E42+E43</f>
        <v>1316.5</v>
      </c>
      <c r="F44" s="125">
        <f>E44/E58</f>
        <v>4.923463976474482E-2</v>
      </c>
      <c r="G44" s="5"/>
    </row>
    <row r="45" spans="1:7" x14ac:dyDescent="0.2">
      <c r="A45" s="3"/>
      <c r="B45" s="1"/>
      <c r="C45" s="46"/>
      <c r="D45" s="61"/>
      <c r="E45" s="79"/>
      <c r="F45" s="125"/>
      <c r="G45" s="5"/>
    </row>
    <row r="46" spans="1:7" x14ac:dyDescent="0.2">
      <c r="A46" s="1"/>
      <c r="B46" s="1"/>
      <c r="C46" s="119" t="s">
        <v>31</v>
      </c>
      <c r="D46" s="122" t="s">
        <v>25</v>
      </c>
      <c r="E46" s="120" t="s">
        <v>26</v>
      </c>
      <c r="F46" s="516"/>
      <c r="G46" s="517"/>
    </row>
    <row r="47" spans="1:7" x14ac:dyDescent="0.2">
      <c r="A47" s="3" t="s">
        <v>32</v>
      </c>
      <c r="B47" s="1" t="s">
        <v>191</v>
      </c>
      <c r="C47" s="46">
        <f>C35</f>
        <v>1.5</v>
      </c>
      <c r="D47" s="61">
        <f>'Var Vorgaben'!$C$31</f>
        <v>32.700000000000003</v>
      </c>
      <c r="E47" s="43">
        <f t="shared" ref="E47:E55" si="0">C47*D47</f>
        <v>49.050000000000004</v>
      </c>
      <c r="F47" s="127">
        <f>E47/E58</f>
        <v>1.8343783368482594E-3</v>
      </c>
      <c r="G47" s="5"/>
    </row>
    <row r="48" spans="1:7" x14ac:dyDescent="0.2">
      <c r="A48" s="1"/>
      <c r="B48" s="4" t="s">
        <v>192</v>
      </c>
      <c r="C48" s="1343">
        <f>C36</f>
        <v>2</v>
      </c>
      <c r="D48" s="61">
        <f>'Var Vorgaben'!$C$31</f>
        <v>32.700000000000003</v>
      </c>
      <c r="E48" s="43">
        <f t="shared" si="0"/>
        <v>65.400000000000006</v>
      </c>
      <c r="F48" s="127">
        <f>E48/E58</f>
        <v>2.4458377824643461E-3</v>
      </c>
      <c r="G48" s="5"/>
    </row>
    <row r="49" spans="1:41" x14ac:dyDescent="0.2">
      <c r="A49" s="1"/>
      <c r="B49" s="4" t="s">
        <v>33</v>
      </c>
      <c r="C49" s="1343">
        <f>C37+C38</f>
        <v>1</v>
      </c>
      <c r="D49" s="61">
        <f>'Var Vorgaben'!$C$31</f>
        <v>32.700000000000003</v>
      </c>
      <c r="E49" s="43">
        <f t="shared" si="0"/>
        <v>32.700000000000003</v>
      </c>
      <c r="F49" s="127">
        <f>E49/E58</f>
        <v>1.2229188912321731E-3</v>
      </c>
      <c r="G49" s="1169"/>
    </row>
    <row r="50" spans="1:41" x14ac:dyDescent="0.2">
      <c r="A50" s="1"/>
      <c r="B50" s="1" t="s">
        <v>34</v>
      </c>
      <c r="C50" s="904">
        <v>1.1000000000000001</v>
      </c>
      <c r="D50" s="61">
        <f>'Var Vorgaben'!$C$31</f>
        <v>32.700000000000003</v>
      </c>
      <c r="E50" s="43">
        <f t="shared" si="0"/>
        <v>35.970000000000006</v>
      </c>
      <c r="F50" s="127">
        <f>E50/E58</f>
        <v>1.3452107803553904E-3</v>
      </c>
      <c r="G50" s="5"/>
    </row>
    <row r="51" spans="1:41" x14ac:dyDescent="0.2">
      <c r="A51" s="1"/>
      <c r="B51" s="1" t="s">
        <v>35</v>
      </c>
      <c r="C51" s="904">
        <v>7.5</v>
      </c>
      <c r="D51" s="61">
        <f>'Var Vorgaben'!$C$31</f>
        <v>32.700000000000003</v>
      </c>
      <c r="E51" s="43">
        <f t="shared" si="0"/>
        <v>245.25000000000003</v>
      </c>
      <c r="F51" s="127">
        <f>E51/E58</f>
        <v>9.171891684241297E-3</v>
      </c>
      <c r="G51" s="5"/>
    </row>
    <row r="52" spans="1:41" x14ac:dyDescent="0.2">
      <c r="A52" s="11" t="s">
        <v>113</v>
      </c>
      <c r="B52" s="1" t="s">
        <v>36</v>
      </c>
      <c r="C52" s="904">
        <v>75</v>
      </c>
      <c r="D52" s="61">
        <f>'Var Vorgaben'!$C$31</f>
        <v>32.700000000000003</v>
      </c>
      <c r="E52" s="43">
        <f t="shared" si="0"/>
        <v>2452.5</v>
      </c>
      <c r="F52" s="127">
        <f>E52/E58</f>
        <v>9.171891684241297E-2</v>
      </c>
      <c r="G52" s="5"/>
    </row>
    <row r="53" spans="1:41" x14ac:dyDescent="0.2">
      <c r="A53" s="11" t="s">
        <v>112</v>
      </c>
      <c r="B53" s="1" t="s">
        <v>193</v>
      </c>
      <c r="C53" s="904">
        <v>10</v>
      </c>
      <c r="D53" s="61">
        <f>'Var Vorgaben'!$C$31</f>
        <v>32.700000000000003</v>
      </c>
      <c r="E53" s="43">
        <f t="shared" si="0"/>
        <v>327</v>
      </c>
      <c r="F53" s="127">
        <f>E53/E58</f>
        <v>1.2229188912321729E-2</v>
      </c>
      <c r="G53" s="5"/>
    </row>
    <row r="54" spans="1:41" x14ac:dyDescent="0.2">
      <c r="A54" s="1"/>
      <c r="B54" s="1" t="s">
        <v>37</v>
      </c>
      <c r="C54" s="46">
        <f>C39</f>
        <v>1</v>
      </c>
      <c r="D54" s="61">
        <f>'Var Vorgaben'!$C$31</f>
        <v>32.700000000000003</v>
      </c>
      <c r="E54" s="43">
        <f t="shared" si="0"/>
        <v>32.700000000000003</v>
      </c>
      <c r="F54" s="127">
        <f>E54/E58</f>
        <v>1.2229188912321731E-3</v>
      </c>
      <c r="G54" s="5"/>
    </row>
    <row r="55" spans="1:41" ht="12.75" customHeight="1" thickBot="1" x14ac:dyDescent="0.25">
      <c r="A55" s="1"/>
      <c r="B55" s="1" t="s">
        <v>153</v>
      </c>
      <c r="C55" s="402">
        <f>SUM(C47:C54)*0.1</f>
        <v>9.91</v>
      </c>
      <c r="D55" s="61">
        <f>'Var Vorgaben'!$C$27</f>
        <v>41.4</v>
      </c>
      <c r="E55" s="198">
        <f t="shared" si="0"/>
        <v>410.274</v>
      </c>
      <c r="F55" s="127">
        <f>E55/E58</f>
        <v>1.5343480892397201E-2</v>
      </c>
      <c r="G55" s="5" t="s">
        <v>114</v>
      </c>
    </row>
    <row r="56" spans="1:41" x14ac:dyDescent="0.2">
      <c r="A56" s="1"/>
      <c r="B56" s="1"/>
      <c r="C56" s="216">
        <f>SUM(C47:C55)</f>
        <v>109.00999999999999</v>
      </c>
      <c r="D56" s="61"/>
      <c r="E56" s="79">
        <f>SUM(E47:E55)</f>
        <v>3650.8439999999996</v>
      </c>
      <c r="F56" s="125">
        <f>E56/E58</f>
        <v>0.13653474301350552</v>
      </c>
      <c r="G56" s="5"/>
    </row>
    <row r="57" spans="1:41" s="21" customFormat="1" ht="15.75" x14ac:dyDescent="0.25">
      <c r="A57" s="446" t="s">
        <v>38</v>
      </c>
      <c r="B57" s="447"/>
      <c r="C57" s="448"/>
      <c r="D57" s="449"/>
      <c r="E57" s="473">
        <f>E56+E44</f>
        <v>4967.3439999999991</v>
      </c>
      <c r="F57" s="451">
        <f>E57/E58</f>
        <v>0.18576938277825031</v>
      </c>
      <c r="G57" s="474"/>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row>
    <row r="58" spans="1:41" s="27" customFormat="1" ht="18" x14ac:dyDescent="0.25">
      <c r="A58" s="446" t="s">
        <v>230</v>
      </c>
      <c r="B58" s="447"/>
      <c r="C58" s="448"/>
      <c r="D58" s="449"/>
      <c r="E58" s="450">
        <f>E57+E33</f>
        <v>26739.303999999996</v>
      </c>
      <c r="F58" s="451">
        <f>E58/E58</f>
        <v>1</v>
      </c>
      <c r="G58" s="478"/>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row>
    <row r="59" spans="1:41" s="142" customFormat="1" ht="18" x14ac:dyDescent="0.25">
      <c r="A59" s="462"/>
      <c r="B59" s="463"/>
      <c r="C59" s="464"/>
      <c r="D59" s="465"/>
      <c r="E59" s="466"/>
      <c r="F59" s="467"/>
      <c r="G59" s="477"/>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row>
    <row r="60" spans="1:41" ht="20.25" x14ac:dyDescent="0.3">
      <c r="A60" s="444" t="s">
        <v>501</v>
      </c>
      <c r="B60" s="436"/>
      <c r="C60" s="371"/>
      <c r="D60" s="371"/>
      <c r="E60" s="371"/>
      <c r="F60" s="1391"/>
      <c r="G60" s="1392"/>
      <c r="I60" s="1146"/>
      <c r="J60"/>
      <c r="K60"/>
      <c r="L60"/>
    </row>
    <row r="61" spans="1:41" ht="12.75" customHeight="1" x14ac:dyDescent="0.25">
      <c r="A61" s="453"/>
      <c r="B61" s="18"/>
      <c r="C61" s="134"/>
      <c r="D61" s="134"/>
      <c r="E61" s="134" t="s">
        <v>20</v>
      </c>
      <c r="F61" s="48"/>
      <c r="I61" s="1"/>
      <c r="J61" s="1"/>
      <c r="K61" s="1"/>
      <c r="L61" s="1"/>
      <c r="M61" s="24"/>
    </row>
    <row r="62" spans="1:41" ht="12.75" customHeight="1" x14ac:dyDescent="0.2">
      <c r="B62" s="1" t="s">
        <v>474</v>
      </c>
      <c r="C62" s="523"/>
      <c r="D62" s="61"/>
      <c r="E62" s="1295">
        <f>19007.8*1.081</f>
        <v>20547.431799999998</v>
      </c>
      <c r="F62" s="127">
        <f>E62/E76</f>
        <v>0.43947520538216556</v>
      </c>
      <c r="H62" s="482"/>
      <c r="I62" s="1"/>
      <c r="J62" s="523"/>
      <c r="K62" s="61"/>
      <c r="L62" s="43"/>
      <c r="M62" s="24"/>
    </row>
    <row r="63" spans="1:41" ht="12.75" customHeight="1" x14ac:dyDescent="0.2">
      <c r="B63" s="1" t="s">
        <v>475</v>
      </c>
      <c r="C63" s="137"/>
      <c r="D63" s="61"/>
      <c r="E63" s="1296">
        <f>16153.6*1.081</f>
        <v>17462.0416</v>
      </c>
      <c r="F63" s="127">
        <f>E63/E76</f>
        <v>0.37348386860453869</v>
      </c>
      <c r="H63" s="482"/>
      <c r="I63" s="1"/>
      <c r="J63" s="137"/>
      <c r="K63" s="61"/>
      <c r="L63" s="43"/>
      <c r="M63" s="24"/>
    </row>
    <row r="64" spans="1:41" ht="12.75" customHeight="1" x14ac:dyDescent="0.2">
      <c r="B64" s="1"/>
      <c r="C64" s="137"/>
      <c r="D64" s="105"/>
      <c r="E64" s="199">
        <f>SUM(E62:E63)</f>
        <v>38009.473400000003</v>
      </c>
      <c r="F64" s="313">
        <f>E64/$E$76</f>
        <v>0.81295907398670431</v>
      </c>
      <c r="I64" s="1"/>
      <c r="J64" s="137"/>
      <c r="K64" s="93"/>
      <c r="L64" s="117"/>
      <c r="M64" s="24"/>
    </row>
    <row r="65" spans="1:41" s="1" customFormat="1" ht="12.75" customHeight="1" x14ac:dyDescent="0.2">
      <c r="B65" s="1" t="s">
        <v>115</v>
      </c>
      <c r="C65" s="137"/>
      <c r="D65" s="105"/>
      <c r="E65" s="905">
        <v>350</v>
      </c>
      <c r="F65" s="313">
        <f>E65/$E$76</f>
        <v>7.4859147060781566E-3</v>
      </c>
      <c r="H65" s="24"/>
      <c r="J65" s="137"/>
      <c r="K65" s="93"/>
      <c r="L65" s="117"/>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 customHeight="1" x14ac:dyDescent="0.25">
      <c r="A66" s="446" t="s">
        <v>23</v>
      </c>
      <c r="B66" s="447"/>
      <c r="C66" s="1183"/>
      <c r="D66" s="449"/>
      <c r="E66" s="1184">
        <f>E64+E65</f>
        <v>38359.473400000003</v>
      </c>
      <c r="F66" s="1182">
        <f>E66/E76</f>
        <v>0.82044498869278248</v>
      </c>
      <c r="G66" s="447"/>
      <c r="I66" s="24"/>
      <c r="J66" s="24"/>
      <c r="K66" s="24"/>
      <c r="L66" s="24"/>
      <c r="M66" s="24"/>
    </row>
    <row r="67" spans="1:41" ht="12" customHeight="1" x14ac:dyDescent="0.2">
      <c r="A67" s="3" t="s">
        <v>27</v>
      </c>
      <c r="C67" s="119" t="s">
        <v>92</v>
      </c>
      <c r="D67" s="122" t="s">
        <v>25</v>
      </c>
      <c r="E67" s="120" t="s">
        <v>20</v>
      </c>
      <c r="F67" s="127"/>
      <c r="I67" s="24"/>
      <c r="J67" s="24"/>
      <c r="K67" s="24"/>
      <c r="L67" s="24"/>
      <c r="M67" s="24"/>
    </row>
    <row r="68" spans="1:41" ht="12" customHeight="1" x14ac:dyDescent="0.2">
      <c r="A68" s="18"/>
      <c r="B68" s="1" t="s">
        <v>110</v>
      </c>
      <c r="C68" s="60">
        <f>'Standard Vorgaben'!C177*C74</f>
        <v>15</v>
      </c>
      <c r="D68" s="138">
        <f>D40</f>
        <v>25</v>
      </c>
      <c r="E68" s="59">
        <f>C68*D68</f>
        <v>375</v>
      </c>
      <c r="F68" s="127">
        <f>E68/E76</f>
        <v>8.0206228993694537E-3</v>
      </c>
      <c r="G68" s="5"/>
    </row>
    <row r="69" spans="1:41" ht="12" customHeight="1" x14ac:dyDescent="0.2">
      <c r="A69" s="18"/>
      <c r="B69" s="1" t="s">
        <v>398</v>
      </c>
      <c r="C69" s="137">
        <f>C68</f>
        <v>15</v>
      </c>
      <c r="D69" s="256">
        <f>'Var Vorgaben'!$D$173*(1+Eingabeseite!$C$24)</f>
        <v>41</v>
      </c>
      <c r="E69" s="59">
        <f>C69*D69</f>
        <v>615</v>
      </c>
      <c r="F69" s="127">
        <f>E69/E76</f>
        <v>1.3153821554965903E-2</v>
      </c>
      <c r="G69" s="5"/>
    </row>
    <row r="70" spans="1:41" ht="12" customHeight="1" x14ac:dyDescent="0.2">
      <c r="A70" s="18"/>
      <c r="B70" s="1109" t="s">
        <v>477</v>
      </c>
      <c r="C70" s="137">
        <v>10</v>
      </c>
      <c r="D70" s="136">
        <v>200</v>
      </c>
      <c r="E70" s="114">
        <f>(C70*D70)+500</f>
        <v>2500</v>
      </c>
      <c r="F70" s="127">
        <f>E70/E76</f>
        <v>5.3470819329129692E-2</v>
      </c>
      <c r="G70" s="5"/>
    </row>
    <row r="71" spans="1:41" ht="12" customHeight="1" x14ac:dyDescent="0.2">
      <c r="A71" s="18"/>
      <c r="B71" s="1109"/>
      <c r="C71" s="46"/>
      <c r="D71" s="136"/>
      <c r="E71" s="117">
        <f>SUM(E68:E70)</f>
        <v>3490</v>
      </c>
      <c r="F71" s="313">
        <f>E71/E76</f>
        <v>7.4645263783465046E-2</v>
      </c>
      <c r="G71" s="5"/>
    </row>
    <row r="72" spans="1:41" ht="12" customHeight="1" x14ac:dyDescent="0.2">
      <c r="A72" s="18"/>
      <c r="B72" s="1"/>
      <c r="C72" s="50"/>
      <c r="D72" s="136"/>
      <c r="G72" s="5"/>
    </row>
    <row r="73" spans="1:41" ht="12" customHeight="1" x14ac:dyDescent="0.2">
      <c r="A73" s="3" t="s">
        <v>32</v>
      </c>
      <c r="C73" s="119" t="s">
        <v>31</v>
      </c>
      <c r="D73" s="122" t="s">
        <v>25</v>
      </c>
      <c r="E73" s="120" t="s">
        <v>26</v>
      </c>
      <c r="F73" s="127"/>
      <c r="G73" s="5"/>
    </row>
    <row r="74" spans="1:41" ht="12" customHeight="1" x14ac:dyDescent="0.2">
      <c r="B74" s="4" t="s">
        <v>492</v>
      </c>
      <c r="C74" s="1277">
        <v>150</v>
      </c>
      <c r="D74" s="61">
        <f>'Var Vorgaben'!$C$31</f>
        <v>32.700000000000003</v>
      </c>
      <c r="E74" s="199">
        <f>C74*D74</f>
        <v>4905</v>
      </c>
      <c r="F74" s="313">
        <f>E74/E76</f>
        <v>0.10490974752375244</v>
      </c>
      <c r="G74" s="5"/>
      <c r="H74" s="482"/>
    </row>
    <row r="75" spans="1:41" s="21" customFormat="1" ht="15" customHeight="1" x14ac:dyDescent="0.25">
      <c r="A75" s="446" t="s">
        <v>38</v>
      </c>
      <c r="B75" s="447"/>
      <c r="C75" s="448"/>
      <c r="D75" s="449"/>
      <c r="E75" s="470">
        <f>E71+E74</f>
        <v>8395</v>
      </c>
      <c r="F75" s="1182">
        <f>E75/E76</f>
        <v>0.17955501130721749</v>
      </c>
      <c r="G75" s="445"/>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row>
    <row r="76" spans="1:41" s="27" customFormat="1" ht="18" customHeight="1" thickBot="1" x14ac:dyDescent="0.3">
      <c r="A76" s="457" t="s">
        <v>502</v>
      </c>
      <c r="B76" s="454"/>
      <c r="C76" s="455"/>
      <c r="D76" s="456"/>
      <c r="E76" s="1198">
        <f>E66+E75</f>
        <v>46754.473400000003</v>
      </c>
      <c r="F76" s="1195">
        <f>E76/E76</f>
        <v>1</v>
      </c>
      <c r="G76" s="445"/>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row>
    <row r="77" spans="1:41" s="142" customFormat="1" ht="12" customHeight="1" x14ac:dyDescent="0.25">
      <c r="A77" s="1170"/>
      <c r="B77" s="442"/>
      <c r="C77" s="1185"/>
      <c r="D77" s="1186"/>
      <c r="E77" s="1188"/>
      <c r="F77" s="232"/>
      <c r="G77" s="26"/>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row>
    <row r="78" spans="1:41" s="142" customFormat="1" ht="18" customHeight="1" x14ac:dyDescent="0.25">
      <c r="A78" s="457" t="s">
        <v>491</v>
      </c>
      <c r="B78" s="454"/>
      <c r="C78" s="455"/>
      <c r="D78" s="456"/>
      <c r="E78" s="1187">
        <f>E76+E58</f>
        <v>73493.777399999992</v>
      </c>
      <c r="F78" s="458"/>
      <c r="G78" s="452"/>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row>
    <row r="79" spans="1:41" s="142" customFormat="1" ht="12" customHeight="1" x14ac:dyDescent="0.25">
      <c r="A79" s="140"/>
      <c r="B79" s="1189"/>
      <c r="C79" s="1190"/>
      <c r="D79" s="1191"/>
      <c r="E79" s="1192"/>
      <c r="F79" s="1175"/>
      <c r="G79" s="26"/>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row>
    <row r="80" spans="1:41" ht="18" x14ac:dyDescent="0.25">
      <c r="A80" s="461" t="s">
        <v>428</v>
      </c>
      <c r="B80" s="365"/>
      <c r="C80" s="365"/>
      <c r="D80" s="1393"/>
      <c r="E80" s="1393"/>
      <c r="F80" s="1393"/>
      <c r="G80" s="1393"/>
      <c r="H80" s="482"/>
    </row>
    <row r="81" spans="1:8" ht="12.75" customHeight="1" x14ac:dyDescent="0.2">
      <c r="D81" s="123" t="s">
        <v>18</v>
      </c>
      <c r="E81" s="23" t="s">
        <v>19</v>
      </c>
      <c r="F81" s="123" t="s">
        <v>20</v>
      </c>
      <c r="G81" s="124"/>
      <c r="H81" s="482"/>
    </row>
    <row r="82" spans="1:8" ht="12.75" customHeight="1" x14ac:dyDescent="0.2">
      <c r="A82" s="242" t="s">
        <v>197</v>
      </c>
      <c r="B82" t="s">
        <v>430</v>
      </c>
      <c r="D82" s="690"/>
      <c r="E82" s="61"/>
      <c r="F82" s="1297">
        <f>1940.3*1.081</f>
        <v>2097.4643000000001</v>
      </c>
      <c r="G82" s="63">
        <f>F82/$F$96</f>
        <v>0.1205699999357045</v>
      </c>
      <c r="H82" s="482"/>
    </row>
    <row r="83" spans="1:8" ht="12.75" customHeight="1" thickBot="1" x14ac:dyDescent="0.25">
      <c r="B83" t="s">
        <v>429</v>
      </c>
      <c r="F83" s="911">
        <f>8322.75*1.081</f>
        <v>8996.8927499999991</v>
      </c>
      <c r="G83" s="63">
        <f>F83/$F$96</f>
        <v>0.51717464668601987</v>
      </c>
      <c r="H83" s="482"/>
    </row>
    <row r="84" spans="1:8" ht="12.75" customHeight="1" x14ac:dyDescent="0.2">
      <c r="F84" s="196">
        <f>SUM(F82:F83)</f>
        <v>11094.357049999999</v>
      </c>
      <c r="G84" s="309">
        <f>F84/$F$96</f>
        <v>0.63774464662172436</v>
      </c>
      <c r="H84" s="482"/>
    </row>
    <row r="85" spans="1:8" ht="12.75" customHeight="1" x14ac:dyDescent="0.2">
      <c r="F85" s="196"/>
      <c r="G85" s="309"/>
      <c r="H85" s="482"/>
    </row>
    <row r="86" spans="1:8" ht="12.75" customHeight="1" x14ac:dyDescent="0.2">
      <c r="A86" t="s">
        <v>119</v>
      </c>
      <c r="F86" s="912">
        <v>2561</v>
      </c>
      <c r="G86" s="309">
        <f>F86/$F$96</f>
        <v>0.14721574514299918</v>
      </c>
      <c r="H86" s="482"/>
    </row>
    <row r="87" spans="1:8" ht="12.75" customHeight="1" x14ac:dyDescent="0.2">
      <c r="F87" s="796"/>
      <c r="G87" s="309"/>
      <c r="H87" s="482"/>
    </row>
    <row r="88" spans="1:8" ht="12.75" customHeight="1" x14ac:dyDescent="0.2">
      <c r="A88" t="s">
        <v>198</v>
      </c>
      <c r="B88" t="s">
        <v>431</v>
      </c>
      <c r="D88" s="907">
        <v>10</v>
      </c>
      <c r="F88" s="241"/>
      <c r="G88" s="309"/>
      <c r="H88" s="482"/>
    </row>
    <row r="89" spans="1:8" ht="12.75" customHeight="1" x14ac:dyDescent="0.2">
      <c r="B89" t="s">
        <v>432</v>
      </c>
      <c r="D89" s="907">
        <v>60</v>
      </c>
      <c r="E89" s="61"/>
      <c r="F89" s="241"/>
      <c r="G89" s="309"/>
      <c r="H89" s="482"/>
    </row>
    <row r="90" spans="1:8" ht="12.75" customHeight="1" x14ac:dyDescent="0.2">
      <c r="B90" t="s">
        <v>433</v>
      </c>
      <c r="D90" s="907">
        <v>10</v>
      </c>
      <c r="E90" s="61"/>
      <c r="F90" s="241"/>
      <c r="G90" s="309"/>
      <c r="H90" s="482"/>
    </row>
    <row r="91" spans="1:8" ht="12.75" customHeight="1" x14ac:dyDescent="0.2">
      <c r="B91" t="s">
        <v>435</v>
      </c>
      <c r="D91" s="907">
        <v>18</v>
      </c>
      <c r="E91" s="61"/>
      <c r="F91" s="241"/>
      <c r="G91" s="309"/>
      <c r="H91" s="482"/>
    </row>
    <row r="92" spans="1:8" ht="12.75" customHeight="1" x14ac:dyDescent="0.2">
      <c r="B92" t="s">
        <v>522</v>
      </c>
      <c r="D92" s="907">
        <v>3</v>
      </c>
      <c r="E92" s="61"/>
      <c r="F92" s="241"/>
      <c r="G92" s="309"/>
      <c r="H92" s="482"/>
    </row>
    <row r="93" spans="1:8" ht="12.75" customHeight="1" x14ac:dyDescent="0.2">
      <c r="B93" t="s">
        <v>434</v>
      </c>
      <c r="D93" s="913">
        <v>3</v>
      </c>
      <c r="E93" s="61"/>
      <c r="F93" s="241"/>
      <c r="G93" s="309"/>
      <c r="H93" s="482"/>
    </row>
    <row r="94" spans="1:8" ht="12.75" customHeight="1" thickBot="1" x14ac:dyDescent="0.25">
      <c r="B94" t="s">
        <v>436</v>
      </c>
      <c r="D94" s="810">
        <f>0.1*SUM(D88:D93)</f>
        <v>10.4</v>
      </c>
      <c r="E94" s="61"/>
      <c r="F94" s="241"/>
      <c r="G94" s="309"/>
      <c r="H94" s="482"/>
    </row>
    <row r="95" spans="1:8" ht="12.75" customHeight="1" x14ac:dyDescent="0.2">
      <c r="D95" s="689">
        <f>SUM(D88:D94)</f>
        <v>114.4</v>
      </c>
      <c r="E95" s="61">
        <f>'Var Vorgaben'!$C$31</f>
        <v>32.700000000000003</v>
      </c>
      <c r="F95" s="241">
        <f>D95*E95</f>
        <v>3740.8800000000006</v>
      </c>
      <c r="G95" s="1200">
        <f>F95/$F$96</f>
        <v>0.2150396082352764</v>
      </c>
      <c r="H95" s="482"/>
    </row>
    <row r="96" spans="1:8" ht="18" x14ac:dyDescent="0.25">
      <c r="A96" s="457" t="s">
        <v>199</v>
      </c>
      <c r="B96" s="432"/>
      <c r="C96" s="432"/>
      <c r="D96" s="432"/>
      <c r="E96" s="432"/>
      <c r="F96" s="457">
        <f>F84+F86+F95</f>
        <v>17396.23705</v>
      </c>
      <c r="G96" s="1213">
        <f>F96/$F$96</f>
        <v>1</v>
      </c>
      <c r="H96" s="482"/>
    </row>
    <row r="97" spans="1:41" x14ac:dyDescent="0.2">
      <c r="A97" s="169"/>
      <c r="B97" s="102"/>
      <c r="C97" s="102"/>
      <c r="D97" s="102"/>
      <c r="E97" s="102"/>
      <c r="F97" s="1174"/>
      <c r="G97" s="105"/>
      <c r="H97" s="482"/>
    </row>
    <row r="98" spans="1:41" s="142" customFormat="1" ht="12" customHeight="1" x14ac:dyDescent="0.25">
      <c r="A98" s="140"/>
      <c r="B98" s="1189"/>
      <c r="C98" s="1190"/>
      <c r="D98" s="1191"/>
      <c r="E98" s="1192"/>
      <c r="F98" s="1175"/>
      <c r="G98" s="26"/>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row>
    <row r="99" spans="1:41" s="20" customFormat="1" ht="20.25" x14ac:dyDescent="0.3">
      <c r="A99" s="444" t="s">
        <v>495</v>
      </c>
      <c r="B99" s="444"/>
      <c r="C99" s="444"/>
      <c r="D99" s="444"/>
      <c r="E99" s="444"/>
      <c r="F99" s="444"/>
      <c r="G99" s="444"/>
      <c r="H99" s="820"/>
      <c r="I99" s="820"/>
      <c r="J99" s="820"/>
      <c r="K99" s="820"/>
      <c r="L99" s="820"/>
      <c r="M99" s="820"/>
      <c r="N99" s="820"/>
      <c r="O99" s="820"/>
      <c r="P99" s="820"/>
      <c r="Q99" s="820"/>
      <c r="R99" s="820"/>
      <c r="S99" s="820"/>
      <c r="T99" s="820"/>
      <c r="U99" s="820"/>
      <c r="V99" s="820"/>
      <c r="W99" s="820"/>
      <c r="X99" s="820"/>
      <c r="Y99" s="820"/>
      <c r="Z99" s="820"/>
      <c r="AA99" s="820"/>
      <c r="AB99" s="820"/>
      <c r="AC99" s="820"/>
      <c r="AD99" s="820"/>
      <c r="AE99" s="820"/>
      <c r="AF99" s="820"/>
      <c r="AG99" s="820"/>
      <c r="AH99" s="820"/>
      <c r="AI99" s="820"/>
      <c r="AJ99" s="820"/>
      <c r="AK99" s="820"/>
      <c r="AL99" s="820"/>
      <c r="AM99" s="820"/>
      <c r="AN99" s="820"/>
      <c r="AO99" s="820"/>
    </row>
    <row r="100" spans="1:41" ht="14.25" x14ac:dyDescent="0.2">
      <c r="A100" s="380" t="s">
        <v>503</v>
      </c>
      <c r="B100" s="380"/>
      <c r="C100" s="1207"/>
      <c r="D100" s="1208"/>
      <c r="E100" s="1197">
        <f>E78</f>
        <v>73493.777399999992</v>
      </c>
      <c r="F100" s="688">
        <f>C74+C57</f>
        <v>150</v>
      </c>
      <c r="G100" s="5"/>
    </row>
    <row r="101" spans="1:41" ht="15" thickBot="1" x14ac:dyDescent="0.25">
      <c r="A101" s="497" t="s">
        <v>185</v>
      </c>
      <c r="B101" s="497"/>
      <c r="C101" s="1207"/>
      <c r="D101" s="1208"/>
      <c r="E101" s="1209">
        <f>F96</f>
        <v>17396.23705</v>
      </c>
      <c r="F101" s="688">
        <f>D95</f>
        <v>114.4</v>
      </c>
      <c r="G101" s="199"/>
    </row>
    <row r="102" spans="1:41" s="142" customFormat="1" ht="21" thickBot="1" x14ac:dyDescent="0.35">
      <c r="A102" s="1206" t="s">
        <v>494</v>
      </c>
      <c r="B102" s="454"/>
      <c r="C102" s="455"/>
      <c r="D102" s="456"/>
      <c r="E102" s="1196">
        <f>E100+E101</f>
        <v>90890.014449999988</v>
      </c>
      <c r="F102" s="1210">
        <f>F100+F101</f>
        <v>264.39999999999998</v>
      </c>
      <c r="G102" s="452"/>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row>
    <row r="103" spans="1:41" s="142" customFormat="1" ht="18" x14ac:dyDescent="0.25">
      <c r="A103" s="1211"/>
      <c r="B103" s="1189"/>
      <c r="C103" s="1190"/>
      <c r="D103" s="1191"/>
      <c r="E103" s="1192"/>
      <c r="F103" s="1212"/>
      <c r="G103" s="26"/>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row>
    <row r="104" spans="1:41" ht="20.25" x14ac:dyDescent="0.3">
      <c r="A104" s="444" t="s">
        <v>504</v>
      </c>
      <c r="B104" s="365"/>
      <c r="C104" s="365"/>
      <c r="D104" s="365"/>
      <c r="E104" s="365"/>
      <c r="F104" s="365"/>
      <c r="G104" s="365"/>
    </row>
    <row r="105" spans="1:41" x14ac:dyDescent="0.2">
      <c r="D105" s="1164"/>
      <c r="E105" s="1165"/>
      <c r="F105" s="123" t="s">
        <v>20</v>
      </c>
      <c r="G105" s="124"/>
    </row>
    <row r="106" spans="1:41" x14ac:dyDescent="0.2">
      <c r="A106" s="243" t="s">
        <v>197</v>
      </c>
      <c r="B106" s="20" t="s">
        <v>478</v>
      </c>
      <c r="C106" s="20"/>
      <c r="D106" s="45"/>
      <c r="E106" s="61"/>
      <c r="F106" s="906">
        <f>38640.9*1.081</f>
        <v>41770.812899999997</v>
      </c>
      <c r="G106" s="63">
        <f t="shared" ref="G106:G111" si="1">F106/$F$123</f>
        <v>0.63858230973539376</v>
      </c>
      <c r="H106" s="482"/>
      <c r="J106" s="18" t="s">
        <v>437</v>
      </c>
    </row>
    <row r="107" spans="1:41" x14ac:dyDescent="0.2">
      <c r="A107" s="243"/>
      <c r="B107" s="20" t="s">
        <v>490</v>
      </c>
      <c r="C107" s="20"/>
      <c r="D107" s="45">
        <f>'Var Vorgaben'!C195</f>
        <v>0</v>
      </c>
      <c r="E107" s="906">
        <f>7558*1.081</f>
        <v>8170.1979999999994</v>
      </c>
      <c r="F107" s="170">
        <f>D107*E107</f>
        <v>0</v>
      </c>
      <c r="G107" s="63">
        <f t="shared" si="1"/>
        <v>0</v>
      </c>
      <c r="H107" s="482"/>
    </row>
    <row r="108" spans="1:41" x14ac:dyDescent="0.2">
      <c r="A108" s="243"/>
      <c r="B108" t="s">
        <v>479</v>
      </c>
      <c r="C108" t="s">
        <v>480</v>
      </c>
      <c r="D108" s="45"/>
      <c r="E108" s="61"/>
      <c r="F108" s="906">
        <f>4709.6*1.081</f>
        <v>5091.0776000000005</v>
      </c>
      <c r="G108" s="63">
        <f t="shared" si="1"/>
        <v>7.7831190420766888E-2</v>
      </c>
      <c r="H108" s="482"/>
    </row>
    <row r="109" spans="1:41" x14ac:dyDescent="0.2">
      <c r="A109" s="243"/>
      <c r="C109" t="s">
        <v>481</v>
      </c>
      <c r="D109" s="45"/>
      <c r="E109" s="61"/>
      <c r="F109" s="906">
        <f>3210*1.081</f>
        <v>3470.0099999999998</v>
      </c>
      <c r="G109" s="63">
        <f t="shared" si="1"/>
        <v>5.3048692298849509E-2</v>
      </c>
      <c r="H109" s="482"/>
    </row>
    <row r="110" spans="1:41" x14ac:dyDescent="0.2">
      <c r="A110" s="243"/>
      <c r="C110" t="s">
        <v>476</v>
      </c>
      <c r="D110" s="45"/>
      <c r="E110" s="61"/>
      <c r="F110" s="1298">
        <f>2011*1.081</f>
        <v>2173.8910000000001</v>
      </c>
      <c r="G110" s="63">
        <f t="shared" si="1"/>
        <v>3.3233931530525347E-2</v>
      </c>
      <c r="H110" s="482"/>
    </row>
    <row r="111" spans="1:41" x14ac:dyDescent="0.2">
      <c r="A111" s="243"/>
      <c r="B111" s="17"/>
      <c r="D111" s="12"/>
      <c r="E111" s="30"/>
      <c r="F111" s="796">
        <f>SUM(F106:F110)</f>
        <v>52505.791499999999</v>
      </c>
      <c r="G111" s="309">
        <f t="shared" si="1"/>
        <v>0.80269612398553558</v>
      </c>
      <c r="H111" s="482"/>
    </row>
    <row r="112" spans="1:41" x14ac:dyDescent="0.2">
      <c r="A112" s="243"/>
      <c r="B112" s="17"/>
      <c r="D112" s="12"/>
      <c r="E112" s="30"/>
      <c r="F112" s="796"/>
      <c r="G112" s="309"/>
      <c r="H112" s="482"/>
    </row>
    <row r="113" spans="1:41" x14ac:dyDescent="0.2">
      <c r="A113" t="s">
        <v>425</v>
      </c>
      <c r="D113" s="1164" t="s">
        <v>482</v>
      </c>
      <c r="E113" s="1165" t="s">
        <v>25</v>
      </c>
      <c r="F113" s="170"/>
      <c r="G113" s="63"/>
      <c r="H113" s="482"/>
    </row>
    <row r="114" spans="1:41" x14ac:dyDescent="0.2">
      <c r="A114" s="1255" t="s">
        <v>516</v>
      </c>
      <c r="B114" s="1" t="str">
        <f>'Var Vorgaben'!B173</f>
        <v>Obstbautraktor 4-Rad (45-54 kW, 61-73 PS)</v>
      </c>
      <c r="C114" s="20"/>
      <c r="D114" s="1222">
        <f>D121/3</f>
        <v>60</v>
      </c>
      <c r="E114" s="1299">
        <f>'Var Vorgaben'!$D$173*(1+Eingabeseite!$C$24)</f>
        <v>41</v>
      </c>
      <c r="F114" s="1223">
        <f>D114*E114</f>
        <v>2460</v>
      </c>
      <c r="G114" s="1178">
        <f>F114/$F$123</f>
        <v>3.7607898264030881E-2</v>
      </c>
      <c r="H114" s="482"/>
    </row>
    <row r="115" spans="1:41" x14ac:dyDescent="0.2">
      <c r="A115" s="143"/>
      <c r="B115" s="1" t="str">
        <f>'Var Vorgaben'!B168</f>
        <v>Hebebühne schwer, selbstfahrend, elektrisch</v>
      </c>
      <c r="C115" s="20"/>
      <c r="D115" s="1222">
        <f>D114</f>
        <v>60</v>
      </c>
      <c r="E115" s="1299">
        <f>'Var Vorgaben'!$I$168*(1+Eingabeseite!$C$24)</f>
        <v>17.5</v>
      </c>
      <c r="F115" s="1223">
        <f>D115*E115</f>
        <v>1050</v>
      </c>
      <c r="G115" s="1178">
        <f>F115/$F$123</f>
        <v>1.6052151698061963E-2</v>
      </c>
      <c r="H115" s="482"/>
    </row>
    <row r="116" spans="1:41" x14ac:dyDescent="0.2">
      <c r="A116" s="143" t="s">
        <v>505</v>
      </c>
      <c r="B116" s="1" t="str">
        <f>'Var Vorgaben'!B173</f>
        <v>Obstbautraktor 4-Rad (45-54 kW, 61-73 PS)</v>
      </c>
      <c r="C116" s="20"/>
      <c r="D116" s="1222">
        <f>D122/3</f>
        <v>0</v>
      </c>
      <c r="E116" s="1299">
        <f>'Var Vorgaben'!$D$173*(1+Eingabeseite!$C$24)</f>
        <v>41</v>
      </c>
      <c r="F116" s="1223">
        <f>D116*E116</f>
        <v>0</v>
      </c>
      <c r="G116" s="1178">
        <f>F116/$F$123</f>
        <v>0</v>
      </c>
      <c r="H116" s="482"/>
    </row>
    <row r="117" spans="1:41" x14ac:dyDescent="0.2">
      <c r="B117" s="1" t="str">
        <f>'Var Vorgaben'!$B$168</f>
        <v>Hebebühne schwer, selbstfahrend, elektrisch</v>
      </c>
      <c r="C117" s="20"/>
      <c r="D117" s="1259">
        <f>D116</f>
        <v>0</v>
      </c>
      <c r="E117" s="1299">
        <f>'Var Vorgaben'!$I$168*(1+Eingabeseite!$C$24)</f>
        <v>17.5</v>
      </c>
      <c r="F117" s="237">
        <f>D117*E117</f>
        <v>0</v>
      </c>
      <c r="G117" s="1178">
        <f>F117/$F$123</f>
        <v>0</v>
      </c>
      <c r="H117" s="482"/>
    </row>
    <row r="118" spans="1:41" x14ac:dyDescent="0.2">
      <c r="B118" s="1"/>
      <c r="C118" s="20"/>
      <c r="D118" s="1222"/>
      <c r="E118" s="61"/>
      <c r="F118" s="1177">
        <f>SUM(F114:F117)</f>
        <v>3510</v>
      </c>
      <c r="G118" s="309">
        <f>F118/$F$123</f>
        <v>5.3660049962092844E-2</v>
      </c>
      <c r="H118" s="482"/>
      <c r="I118" s="724">
        <f>E71+F118</f>
        <v>7000</v>
      </c>
      <c r="J118" s="820" t="s">
        <v>518</v>
      </c>
    </row>
    <row r="119" spans="1:41" x14ac:dyDescent="0.2">
      <c r="B119" s="1"/>
      <c r="C119" s="20"/>
      <c r="D119" s="1222"/>
      <c r="E119" s="61"/>
      <c r="F119" s="1177"/>
      <c r="G119" s="309"/>
      <c r="H119" s="482"/>
      <c r="I119" s="724"/>
      <c r="J119" s="820"/>
    </row>
    <row r="120" spans="1:41" x14ac:dyDescent="0.2">
      <c r="A120" t="s">
        <v>198</v>
      </c>
      <c r="B120" s="1"/>
      <c r="C120" s="20"/>
      <c r="D120" s="1164" t="s">
        <v>31</v>
      </c>
      <c r="E120" s="1165" t="s">
        <v>25</v>
      </c>
      <c r="F120" s="475"/>
      <c r="G120" s="309"/>
      <c r="H120" s="482"/>
      <c r="I120" s="1179">
        <f>E74+F121+F122</f>
        <v>10791</v>
      </c>
      <c r="J120" s="820" t="s">
        <v>519</v>
      </c>
    </row>
    <row r="121" spans="1:41" x14ac:dyDescent="0.2">
      <c r="A121" s="143" t="s">
        <v>516</v>
      </c>
      <c r="B121" t="s">
        <v>426</v>
      </c>
      <c r="C121" s="20"/>
      <c r="D121" s="1275">
        <v>180</v>
      </c>
      <c r="E121" s="61">
        <f>'Var Vorgaben'!$C$31</f>
        <v>32.700000000000003</v>
      </c>
      <c r="F121" s="1177">
        <f>D121*E121</f>
        <v>5886.0000000000009</v>
      </c>
      <c r="G121" s="309">
        <f>F121/$F$123</f>
        <v>8.9983776090278786E-2</v>
      </c>
      <c r="H121" s="482"/>
      <c r="I121" s="724">
        <f>SUM(I118:I120)</f>
        <v>17791</v>
      </c>
      <c r="J121" s="820" t="s">
        <v>105</v>
      </c>
    </row>
    <row r="122" spans="1:41" x14ac:dyDescent="0.2">
      <c r="A122" s="143" t="s">
        <v>505</v>
      </c>
      <c r="B122" s="12">
        <f>'Var Vorgaben'!C195</f>
        <v>0</v>
      </c>
      <c r="C122" s="920">
        <v>175</v>
      </c>
      <c r="D122" s="1222">
        <f>C122*B122</f>
        <v>0</v>
      </c>
      <c r="E122" s="61">
        <f>'Var Vorgaben'!$C$31</f>
        <v>32.700000000000003</v>
      </c>
      <c r="F122" s="1177">
        <f>D122*E122</f>
        <v>0</v>
      </c>
      <c r="G122" s="309">
        <f>F122/$F$123</f>
        <v>0</v>
      </c>
      <c r="H122" s="482"/>
      <c r="I122" s="724"/>
      <c r="J122" s="820"/>
    </row>
    <row r="123" spans="1:41" ht="18.95" customHeight="1" thickBot="1" x14ac:dyDescent="0.3">
      <c r="A123" s="457" t="s">
        <v>493</v>
      </c>
      <c r="B123" s="454"/>
      <c r="C123" s="454"/>
      <c r="D123" s="454"/>
      <c r="E123" s="454"/>
      <c r="F123" s="1194">
        <f>SUM(F114:F122)+F111</f>
        <v>65411.791499999999</v>
      </c>
      <c r="G123" s="1195">
        <f>F123/$F$123</f>
        <v>1</v>
      </c>
    </row>
    <row r="124" spans="1:41" ht="18.95" customHeight="1" thickTop="1" x14ac:dyDescent="0.25">
      <c r="A124" s="1170"/>
      <c r="B124" s="442"/>
      <c r="C124" s="442"/>
      <c r="D124" s="442"/>
      <c r="E124" s="442"/>
      <c r="F124" s="1171"/>
      <c r="G124" s="1172"/>
    </row>
    <row r="125" spans="1:41" ht="18" x14ac:dyDescent="0.25">
      <c r="A125" s="461" t="s">
        <v>483</v>
      </c>
      <c r="B125" s="1173"/>
      <c r="C125" s="1173"/>
      <c r="D125" s="1173"/>
      <c r="E125" s="1173"/>
      <c r="F125" s="1173"/>
      <c r="G125" s="1173"/>
    </row>
    <row r="126" spans="1:41" s="1" customFormat="1" ht="12.75" customHeight="1" x14ac:dyDescent="0.2">
      <c r="A126" s="3" t="s">
        <v>226</v>
      </c>
      <c r="C126" s="217"/>
      <c r="D126" s="123" t="s">
        <v>18</v>
      </c>
      <c r="E126" s="1228" t="s">
        <v>25</v>
      </c>
      <c r="F126" s="123" t="s">
        <v>20</v>
      </c>
      <c r="G126" s="1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41" s="97" customFormat="1" ht="12.75" customHeight="1" x14ac:dyDescent="0.2">
      <c r="F127" s="196"/>
      <c r="G127" s="257"/>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row>
    <row r="128" spans="1:41" s="1" customFormat="1" ht="12.75" customHeight="1" x14ac:dyDescent="0.2">
      <c r="A128" s="104" t="s">
        <v>198</v>
      </c>
      <c r="B128" s="84" t="s">
        <v>227</v>
      </c>
      <c r="C128" s="97"/>
      <c r="D128" s="909">
        <v>20</v>
      </c>
      <c r="E128" s="61">
        <f>'Var Vorgaben'!$C$30</f>
        <v>22.62</v>
      </c>
      <c r="F128" s="248">
        <f>D128*E128</f>
        <v>452.40000000000003</v>
      </c>
      <c r="G128" s="232">
        <f>F128/$F$136</f>
        <v>0.16402397756937059</v>
      </c>
      <c r="H128" s="482"/>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41" s="1" customFormat="1" ht="12.75" customHeight="1" x14ac:dyDescent="0.2">
      <c r="A129" s="169"/>
      <c r="B129" s="84" t="s">
        <v>207</v>
      </c>
      <c r="C129" s="97"/>
      <c r="D129" s="910">
        <v>20</v>
      </c>
      <c r="E129" s="61">
        <f>'Var Vorgaben'!$C$30</f>
        <v>22.62</v>
      </c>
      <c r="F129" s="248">
        <f>D129*E129</f>
        <v>452.40000000000003</v>
      </c>
      <c r="G129" s="232">
        <f>F129/$F$136</f>
        <v>0.16402397756937059</v>
      </c>
      <c r="H129" s="482"/>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41" s="1" customFormat="1" ht="12.75" customHeight="1" thickBot="1" x14ac:dyDescent="0.25">
      <c r="A130" s="169"/>
      <c r="B130" s="84" t="s">
        <v>427</v>
      </c>
      <c r="C130" s="97"/>
      <c r="D130" s="804"/>
      <c r="E130" s="61"/>
      <c r="F130" s="911">
        <v>450</v>
      </c>
      <c r="G130" s="232"/>
      <c r="H130" s="482"/>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41" s="1" customFormat="1" ht="12.75" customHeight="1" x14ac:dyDescent="0.2">
      <c r="A131" s="169"/>
      <c r="B131" s="97"/>
      <c r="C131" s="97"/>
      <c r="D131" s="244">
        <f>SUM(D128:D129)</f>
        <v>40</v>
      </c>
      <c r="E131" s="247"/>
      <c r="F131" s="196">
        <f>SUM(F128:F130)</f>
        <v>1354.8000000000002</v>
      </c>
      <c r="G131" s="313">
        <f>F131/$F$136</f>
        <v>0.4912017789809533</v>
      </c>
      <c r="H131"/>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41" s="1" customFormat="1" ht="12.75" customHeight="1" x14ac:dyDescent="0.2">
      <c r="A132" s="169"/>
      <c r="B132" s="97"/>
      <c r="C132" s="97"/>
      <c r="D132" s="244"/>
      <c r="E132" s="247"/>
      <c r="F132" s="196"/>
      <c r="G132" s="313"/>
      <c r="H132"/>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41" s="1" customFormat="1" ht="12.75" customHeight="1" x14ac:dyDescent="0.2">
      <c r="A133" s="62" t="s">
        <v>119</v>
      </c>
      <c r="B133" s="97" t="str">
        <f>'Var Vorgaben'!B168</f>
        <v>Hebebühne schwer, selbstfahrend, elektrisch</v>
      </c>
      <c r="C133" s="97"/>
      <c r="D133" s="908">
        <f>'Standard Vorgaben'!C168/3</f>
        <v>33.333333333333336</v>
      </c>
      <c r="E133" s="1299">
        <f>'Var Vorgaben'!$I$168*(1+Eingabeseite!$C$24)</f>
        <v>17.5</v>
      </c>
      <c r="F133" s="248">
        <f>D133*E133</f>
        <v>583.33333333333337</v>
      </c>
      <c r="G133" s="232">
        <f>F133/$F$136</f>
        <v>0.21149569757323794</v>
      </c>
      <c r="H133" s="482"/>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41" s="1" customFormat="1" ht="12.75" customHeight="1" x14ac:dyDescent="0.2">
      <c r="A134" s="169"/>
      <c r="B134" s="97" t="s">
        <v>224</v>
      </c>
      <c r="C134" s="97"/>
      <c r="D134" s="909">
        <v>20</v>
      </c>
      <c r="E134" s="1299">
        <f>'Var Vorgaben'!$D$173*(1+Eingabeseite!$C$24)</f>
        <v>41</v>
      </c>
      <c r="F134" s="249">
        <f>D134*E134</f>
        <v>820</v>
      </c>
      <c r="G134" s="232">
        <f>F134/$F$136</f>
        <v>0.29730252344580871</v>
      </c>
      <c r="H134" s="482"/>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row r="135" spans="1:41" s="1" customFormat="1" ht="12.75" customHeight="1" x14ac:dyDescent="0.2">
      <c r="A135" s="169"/>
      <c r="B135" s="97"/>
      <c r="C135" s="97"/>
      <c r="D135" s="244"/>
      <c r="E135" s="256"/>
      <c r="F135" s="196">
        <f>SUM(F133:F134)</f>
        <v>1403.3333333333335</v>
      </c>
      <c r="G135" s="313">
        <f>F135/$F$136</f>
        <v>0.5087982210190467</v>
      </c>
      <c r="H135" s="482"/>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row>
    <row r="136" spans="1:41" ht="15" customHeight="1" thickBot="1" x14ac:dyDescent="0.25">
      <c r="A136" s="459" t="s">
        <v>225</v>
      </c>
      <c r="B136" s="432"/>
      <c r="C136" s="432"/>
      <c r="D136" s="432"/>
      <c r="E136" s="432"/>
      <c r="F136" s="460">
        <f>F131+F135</f>
        <v>2758.1333333333337</v>
      </c>
      <c r="G136" s="458">
        <f>F136/$F$136</f>
        <v>1</v>
      </c>
      <c r="H136" s="482"/>
    </row>
    <row r="137" spans="1:41" s="1" customFormat="1" ht="12.75" customHeight="1" thickTop="1" x14ac:dyDescent="0.2">
      <c r="A137" s="169"/>
      <c r="B137" s="102"/>
      <c r="C137" s="102"/>
      <c r="D137" s="102"/>
      <c r="E137" s="102"/>
      <c r="F137" s="1174"/>
      <c r="G137" s="1175"/>
      <c r="H137" s="1176"/>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row>
    <row r="138" spans="1:41" s="1" customFormat="1" ht="12.75" customHeight="1" x14ac:dyDescent="0.2">
      <c r="A138" s="3" t="s">
        <v>507</v>
      </c>
      <c r="B138" s="1257"/>
      <c r="C138" s="1258"/>
      <c r="D138" s="123" t="s">
        <v>18</v>
      </c>
      <c r="E138" s="123" t="s">
        <v>510</v>
      </c>
      <c r="F138" s="1228" t="s">
        <v>25</v>
      </c>
      <c r="G138" s="123" t="s">
        <v>20</v>
      </c>
      <c r="H138" s="1176"/>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row>
    <row r="139" spans="1:41" s="1" customFormat="1" ht="12.75" customHeight="1" x14ac:dyDescent="0.2">
      <c r="A139" t="s">
        <v>411</v>
      </c>
      <c r="B139" s="20" t="s">
        <v>508</v>
      </c>
      <c r="C139" s="12">
        <f>'Var Vorgaben'!C195</f>
        <v>0</v>
      </c>
      <c r="D139" s="909">
        <v>25</v>
      </c>
      <c r="E139" s="244">
        <f>D139*C139</f>
        <v>0</v>
      </c>
      <c r="F139" s="61">
        <f>'Standard Vorgaben'!$C$30</f>
        <v>22.62</v>
      </c>
      <c r="G139" s="475">
        <f>C139*E139*F139</f>
        <v>0</v>
      </c>
      <c r="H139" s="1176"/>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row>
    <row r="140" spans="1:41" ht="15" customHeight="1" thickBot="1" x14ac:dyDescent="0.25">
      <c r="A140" s="459" t="s">
        <v>523</v>
      </c>
      <c r="B140" s="432"/>
      <c r="C140" s="432"/>
      <c r="D140" s="432"/>
      <c r="E140" s="432"/>
      <c r="F140" s="432"/>
      <c r="G140" s="460">
        <f>G139</f>
        <v>0</v>
      </c>
      <c r="H140" s="482"/>
    </row>
    <row r="141" spans="1:41" s="1" customFormat="1" ht="12.75" customHeight="1" thickTop="1" x14ac:dyDescent="0.2">
      <c r="A141" s="169"/>
      <c r="B141" s="102"/>
      <c r="C141" s="102"/>
      <c r="D141" s="102"/>
      <c r="E141" s="102"/>
      <c r="F141" s="1174"/>
      <c r="G141" s="1175"/>
      <c r="H141" s="1176"/>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row>
    <row r="142" spans="1:41" ht="12.75" customHeight="1" x14ac:dyDescent="0.2">
      <c r="A142" s="3" t="s">
        <v>484</v>
      </c>
      <c r="B142" s="1257"/>
      <c r="C142" s="1258"/>
      <c r="D142" s="123" t="s">
        <v>18</v>
      </c>
      <c r="E142" s="1228" t="s">
        <v>25</v>
      </c>
      <c r="F142" s="123" t="s">
        <v>20</v>
      </c>
      <c r="G142" s="798"/>
      <c r="H142" s="482"/>
    </row>
    <row r="143" spans="1:41" ht="12.75" customHeight="1" x14ac:dyDescent="0.2">
      <c r="A143" t="s">
        <v>411</v>
      </c>
      <c r="B143" s="84" t="s">
        <v>424</v>
      </c>
      <c r="D143" s="909">
        <v>20</v>
      </c>
      <c r="E143" s="61">
        <f>'Var Vorgaben'!$C$30</f>
        <v>22.62</v>
      </c>
      <c r="F143" s="475">
        <f>D143*E143</f>
        <v>452.40000000000003</v>
      </c>
      <c r="G143" s="93"/>
      <c r="H143" s="482"/>
    </row>
    <row r="144" spans="1:41" ht="15" customHeight="1" thickBot="1" x14ac:dyDescent="0.25">
      <c r="A144" s="459" t="s">
        <v>485</v>
      </c>
      <c r="B144" s="432"/>
      <c r="C144" s="432"/>
      <c r="D144" s="432"/>
      <c r="E144" s="432"/>
      <c r="F144" s="460">
        <f>F143</f>
        <v>452.40000000000003</v>
      </c>
      <c r="G144" s="458"/>
      <c r="H144" s="482"/>
    </row>
    <row r="145" spans="1:41" ht="12.75" customHeight="1" thickTop="1" x14ac:dyDescent="0.2">
      <c r="A145" s="169"/>
      <c r="B145" s="102"/>
      <c r="C145" s="102"/>
      <c r="D145" s="102"/>
      <c r="E145" s="102"/>
      <c r="F145" s="1174"/>
      <c r="G145" s="1175"/>
      <c r="H145" s="482"/>
    </row>
    <row r="146" spans="1:41" ht="12.75" customHeight="1" x14ac:dyDescent="0.2">
      <c r="A146" s="3" t="s">
        <v>496</v>
      </c>
      <c r="B146" s="102"/>
      <c r="C146" s="102"/>
      <c r="D146" s="123" t="s">
        <v>18</v>
      </c>
      <c r="E146" s="1228" t="s">
        <v>25</v>
      </c>
      <c r="F146" s="123" t="s">
        <v>20</v>
      </c>
      <c r="G146" s="124"/>
      <c r="H146" s="482"/>
    </row>
    <row r="147" spans="1:41" ht="12.75" customHeight="1" x14ac:dyDescent="0.2">
      <c r="A147" s="104" t="s">
        <v>198</v>
      </c>
      <c r="B147" s="84" t="s">
        <v>205</v>
      </c>
      <c r="C147" s="97"/>
      <c r="D147" s="909">
        <v>10</v>
      </c>
      <c r="E147" s="61">
        <f>'Var Vorgaben'!$C$31</f>
        <v>32.700000000000003</v>
      </c>
      <c r="F147" s="248">
        <f>D147*E147</f>
        <v>327</v>
      </c>
      <c r="H147" s="482"/>
    </row>
    <row r="148" spans="1:41" ht="12.75" customHeight="1" x14ac:dyDescent="0.2">
      <c r="A148" s="169"/>
      <c r="B148" s="84" t="s">
        <v>206</v>
      </c>
      <c r="C148" s="97"/>
      <c r="D148" s="914">
        <v>4</v>
      </c>
      <c r="E148" s="61">
        <f>'Var Vorgaben'!$C$31</f>
        <v>32.700000000000003</v>
      </c>
      <c r="F148" s="249">
        <f>D148*E148</f>
        <v>130.80000000000001</v>
      </c>
      <c r="H148" s="482"/>
    </row>
    <row r="149" spans="1:41" ht="12.75" customHeight="1" x14ac:dyDescent="0.2">
      <c r="A149" s="169"/>
      <c r="B149" s="97"/>
      <c r="C149" s="97"/>
      <c r="D149" s="244">
        <f>SUM(D147:D148)</f>
        <v>14</v>
      </c>
      <c r="E149" s="247"/>
      <c r="F149" s="1214">
        <f>SUM(F147:F148)</f>
        <v>457.8</v>
      </c>
      <c r="H149" s="482"/>
    </row>
    <row r="150" spans="1:41" ht="15" customHeight="1" thickBot="1" x14ac:dyDescent="0.25">
      <c r="A150" s="459" t="s">
        <v>497</v>
      </c>
      <c r="B150" s="432"/>
      <c r="C150" s="432"/>
      <c r="D150" s="432"/>
      <c r="E150" s="432"/>
      <c r="F150" s="460">
        <f>F149</f>
        <v>457.8</v>
      </c>
      <c r="G150" s="458"/>
      <c r="H150" s="482"/>
    </row>
    <row r="151" spans="1:41" ht="13.5" thickTop="1" x14ac:dyDescent="0.2">
      <c r="A151" s="169"/>
      <c r="B151" s="102"/>
      <c r="C151" s="102"/>
      <c r="D151" s="102"/>
      <c r="E151" s="102"/>
      <c r="F151" s="1174"/>
      <c r="G151" s="1175"/>
      <c r="H151" s="482"/>
    </row>
    <row r="152" spans="1:41" s="1" customFormat="1" ht="18.75" customHeight="1" x14ac:dyDescent="0.25">
      <c r="A152" s="446" t="s">
        <v>517</v>
      </c>
      <c r="B152" s="367"/>
      <c r="C152" s="367"/>
      <c r="D152" s="799"/>
      <c r="E152" s="800"/>
      <c r="F152" s="802">
        <f>F144+F136+G140+F150</f>
        <v>3668.3333333333339</v>
      </c>
      <c r="G152" s="801"/>
      <c r="H152" s="482"/>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row>
    <row r="153" spans="1:41" s="1" customFormat="1" ht="18.75" customHeight="1" x14ac:dyDescent="0.25">
      <c r="A153" s="462"/>
      <c r="D153" s="244"/>
      <c r="E153" s="712"/>
      <c r="F153" s="803"/>
      <c r="G153" s="313"/>
      <c r="H153" s="1176"/>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row>
    <row r="154" spans="1:41" s="1" customFormat="1" ht="18.75" customHeight="1" x14ac:dyDescent="0.25">
      <c r="A154" s="461" t="s">
        <v>499</v>
      </c>
      <c r="B154" s="461"/>
      <c r="C154" s="461"/>
      <c r="D154" s="461"/>
      <c r="E154" s="461"/>
      <c r="F154" s="461"/>
      <c r="G154" s="461"/>
      <c r="H154" s="482"/>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row>
    <row r="155" spans="1:41" s="1" customFormat="1" ht="12.75" customHeight="1" x14ac:dyDescent="0.2">
      <c r="A155"/>
      <c r="B155"/>
      <c r="C155"/>
      <c r="D155" s="1164"/>
      <c r="E155" s="1165"/>
      <c r="F155" s="123" t="s">
        <v>20</v>
      </c>
      <c r="G155" s="124"/>
      <c r="H155" s="482"/>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row>
    <row r="156" spans="1:41" s="1" customFormat="1" ht="12.75" customHeight="1" x14ac:dyDescent="0.2">
      <c r="A156" s="243" t="s">
        <v>197</v>
      </c>
      <c r="B156" s="20" t="s">
        <v>478</v>
      </c>
      <c r="C156" s="20"/>
      <c r="D156" s="45"/>
      <c r="E156" s="61"/>
      <c r="F156" s="906">
        <f>38640.9*1.081</f>
        <v>41770.812899999997</v>
      </c>
      <c r="G156" s="63">
        <f>F156/$F$165</f>
        <v>0.89623834587496543</v>
      </c>
      <c r="H156" s="482"/>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row>
    <row r="157" spans="1:41" s="1" customFormat="1" ht="12.75" customHeight="1" x14ac:dyDescent="0.2">
      <c r="A157" s="243"/>
      <c r="B157" s="17"/>
      <c r="C157"/>
      <c r="D157" s="12"/>
      <c r="E157" s="30"/>
      <c r="F157" s="796"/>
      <c r="G157" s="309"/>
      <c r="H157" s="482"/>
      <c r="I157" s="1148"/>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row>
    <row r="158" spans="1:41" s="1" customFormat="1" ht="12.75" customHeight="1" x14ac:dyDescent="0.2">
      <c r="A158" s="243"/>
      <c r="B158"/>
      <c r="C158"/>
      <c r="D158" s="1164" t="s">
        <v>482</v>
      </c>
      <c r="E158" s="1165" t="s">
        <v>25</v>
      </c>
      <c r="F158" s="170"/>
      <c r="G158" s="63"/>
      <c r="H158" s="482"/>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row>
    <row r="159" spans="1:41" s="1" customFormat="1" ht="12.75" customHeight="1" x14ac:dyDescent="0.2">
      <c r="A159" t="s">
        <v>425</v>
      </c>
      <c r="B159" s="1" t="str">
        <f>'Var Vorgaben'!B173</f>
        <v>Obstbautraktor 4-Rad (45-54 kW, 61-73 PS)</v>
      </c>
      <c r="C159"/>
      <c r="D159" s="1275">
        <v>10</v>
      </c>
      <c r="E159" s="1299">
        <f>'Var Vorgaben'!$D$173*(1+Eingabeseite!$C$24)</f>
        <v>41</v>
      </c>
      <c r="F159" s="475">
        <f>D159*E159</f>
        <v>410</v>
      </c>
      <c r="G159" s="63">
        <f>F159/$F$165</f>
        <v>8.7969971445955707E-3</v>
      </c>
      <c r="H159" s="482"/>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row>
    <row r="160" spans="1:41" s="1" customFormat="1" ht="12.75" customHeight="1" x14ac:dyDescent="0.2">
      <c r="A160"/>
      <c r="B160" s="1" t="str">
        <f>'Var Vorgaben'!B168</f>
        <v>Hebebühne schwer, selbstfahrend, elektrisch</v>
      </c>
      <c r="C160"/>
      <c r="D160" s="1275">
        <v>10</v>
      </c>
      <c r="E160" s="1299">
        <f>'Var Vorgaben'!$I$168*(1+Eingabeseite!$C$24)</f>
        <v>17.5</v>
      </c>
      <c r="F160" s="237">
        <f>D160*E160</f>
        <v>175</v>
      </c>
      <c r="G160" s="63">
        <f>F160/$F$165</f>
        <v>3.7548158544005485E-3</v>
      </c>
      <c r="H160" s="482"/>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row>
    <row r="161" spans="1:41" s="1" customFormat="1" ht="12.75" customHeight="1" x14ac:dyDescent="0.2">
      <c r="A161"/>
      <c r="C161"/>
      <c r="D161" s="1222"/>
      <c r="E161" s="61"/>
      <c r="F161" s="1177">
        <f>SUM(F159:F160)</f>
        <v>585</v>
      </c>
      <c r="G161" s="1200">
        <f>F161/$F$165</f>
        <v>1.2551812998996119E-2</v>
      </c>
      <c r="H161" s="482"/>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row>
    <row r="162" spans="1:41" s="1" customFormat="1" ht="12.75" customHeight="1" x14ac:dyDescent="0.2">
      <c r="A162"/>
      <c r="C162"/>
      <c r="D162" s="1222"/>
      <c r="E162" s="61"/>
      <c r="F162" s="1177"/>
      <c r="G162" s="309"/>
      <c r="H162" s="482"/>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row>
    <row r="163" spans="1:41" s="1" customFormat="1" ht="12.75" customHeight="1" x14ac:dyDescent="0.2">
      <c r="A163"/>
      <c r="C163"/>
      <c r="D163" s="1164" t="s">
        <v>31</v>
      </c>
      <c r="E163" s="1165" t="s">
        <v>25</v>
      </c>
      <c r="F163" s="475"/>
      <c r="G163" s="309"/>
      <c r="H163" s="482"/>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row>
    <row r="164" spans="1:41" s="1" customFormat="1" ht="12.75" customHeight="1" x14ac:dyDescent="0.2">
      <c r="A164" t="s">
        <v>198</v>
      </c>
      <c r="B164"/>
      <c r="C164"/>
      <c r="D164" s="1275">
        <v>130</v>
      </c>
      <c r="E164" s="61">
        <f>'Var Vorgaben'!$C$31</f>
        <v>32.700000000000003</v>
      </c>
      <c r="F164" s="1177">
        <f>D164*E164</f>
        <v>4251</v>
      </c>
      <c r="G164" s="1200">
        <f>F164/$F$165</f>
        <v>9.1209841126038471E-2</v>
      </c>
      <c r="H164" s="482"/>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row>
    <row r="165" spans="1:41" s="1" customFormat="1" ht="18.75" thickBot="1" x14ac:dyDescent="0.3">
      <c r="A165" s="457" t="s">
        <v>498</v>
      </c>
      <c r="B165" s="454"/>
      <c r="C165" s="454"/>
      <c r="D165" s="454"/>
      <c r="E165" s="454"/>
      <c r="F165" s="1194">
        <f>F156+F161+F164</f>
        <v>46606.812899999997</v>
      </c>
      <c r="G165" s="1195">
        <f>F165/$F$165</f>
        <v>1</v>
      </c>
      <c r="H165" s="482"/>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row>
    <row r="166" spans="1:41" s="1" customFormat="1" ht="21.75" customHeight="1" thickTop="1" x14ac:dyDescent="0.25">
      <c r="A166" s="2"/>
      <c r="B166" s="4"/>
      <c r="C166" s="4"/>
      <c r="D166" s="1202"/>
      <c r="E166" s="1203"/>
      <c r="F166" s="1204"/>
      <c r="G166" s="125"/>
      <c r="H166" s="482"/>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row>
    <row r="167" spans="1:41" s="1" customFormat="1" ht="18.75" customHeight="1" x14ac:dyDescent="0.25">
      <c r="A167" s="461" t="s">
        <v>520</v>
      </c>
      <c r="B167" s="461"/>
      <c r="C167" s="461"/>
      <c r="D167" s="461"/>
      <c r="E167" s="461"/>
      <c r="F167" s="461"/>
      <c r="G167" s="461"/>
      <c r="H167" s="482"/>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row>
    <row r="168" spans="1:41" s="1" customFormat="1" ht="12.75" customHeight="1" x14ac:dyDescent="0.2">
      <c r="A168"/>
      <c r="B168"/>
      <c r="C168"/>
      <c r="D168" s="1164"/>
      <c r="E168" s="1165"/>
      <c r="F168" s="123" t="s">
        <v>20</v>
      </c>
      <c r="G168" s="124"/>
      <c r="H168" s="482"/>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row>
    <row r="169" spans="1:41" s="1" customFormat="1" ht="12.75" customHeight="1" x14ac:dyDescent="0.2">
      <c r="A169" s="243" t="s">
        <v>197</v>
      </c>
      <c r="B169" s="20" t="s">
        <v>521</v>
      </c>
      <c r="C169" s="20"/>
      <c r="D169" s="45"/>
      <c r="E169" s="61"/>
      <c r="F169" s="906">
        <f>3210*1.081</f>
        <v>3470.0099999999998</v>
      </c>
      <c r="G169" s="63">
        <f>F169/$F$183</f>
        <v>0.64289088857639909</v>
      </c>
      <c r="H169" s="482"/>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row>
    <row r="170" spans="1:41" s="1" customFormat="1" ht="12.75" customHeight="1" x14ac:dyDescent="0.2">
      <c r="A170" s="243"/>
      <c r="B170" s="20" t="s">
        <v>505</v>
      </c>
      <c r="C170" s="20"/>
      <c r="D170" s="45">
        <f>'Var Vorgaben'!C195</f>
        <v>0</v>
      </c>
      <c r="E170" s="906">
        <f>7558*1.081</f>
        <v>8170.1979999999994</v>
      </c>
      <c r="F170" s="170">
        <f>E170*D170</f>
        <v>0</v>
      </c>
      <c r="G170" s="63">
        <f>F170/$F$183</f>
        <v>0</v>
      </c>
      <c r="H170" s="482"/>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row>
    <row r="171" spans="1:41" s="1" customFormat="1" ht="12.75" customHeight="1" x14ac:dyDescent="0.2">
      <c r="A171" s="243"/>
      <c r="B171" s="17"/>
      <c r="C171"/>
      <c r="D171" s="12"/>
      <c r="E171" s="30"/>
      <c r="F171" s="796"/>
      <c r="G171" s="309"/>
      <c r="H171" s="482"/>
      <c r="I171" s="1148"/>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row>
    <row r="172" spans="1:41" s="1" customFormat="1" ht="12.75" customHeight="1" x14ac:dyDescent="0.2">
      <c r="A172" t="s">
        <v>425</v>
      </c>
      <c r="B172"/>
      <c r="C172"/>
      <c r="D172" s="1164" t="s">
        <v>482</v>
      </c>
      <c r="E172" s="1165" t="s">
        <v>25</v>
      </c>
      <c r="F172" s="170"/>
      <c r="G172" s="63"/>
      <c r="H172" s="482"/>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row>
    <row r="173" spans="1:41" s="1" customFormat="1" ht="12.75" customHeight="1" x14ac:dyDescent="0.2">
      <c r="A173" s="45" t="s">
        <v>479</v>
      </c>
      <c r="B173" s="1" t="str">
        <f>'Var Vorgaben'!B173</f>
        <v>Obstbautraktor 4-Rad (45-54 kW, 61-73 PS)</v>
      </c>
      <c r="C173" s="20"/>
      <c r="D173" s="1275">
        <v>5</v>
      </c>
      <c r="E173" s="1299">
        <f>'Var Vorgaben'!$D$173*(1+Eingabeseite!$C$24)</f>
        <v>41</v>
      </c>
      <c r="F173" s="475">
        <f>D173*E173</f>
        <v>205</v>
      </c>
      <c r="G173" s="63">
        <f>F173/$F$183</f>
        <v>3.798047618253602E-2</v>
      </c>
      <c r="H173" s="482"/>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row>
    <row r="174" spans="1:41" s="1" customFormat="1" ht="12.75" customHeight="1" x14ac:dyDescent="0.2">
      <c r="A174"/>
      <c r="B174" s="1" t="str">
        <f>'Var Vorgaben'!B168</f>
        <v>Hebebühne schwer, selbstfahrend, elektrisch</v>
      </c>
      <c r="C174" s="20"/>
      <c r="D174" s="1275">
        <v>5</v>
      </c>
      <c r="E174" s="1299">
        <f>'Var Vorgaben'!$I$168*(1+Eingabeseite!$C$24)</f>
        <v>17.5</v>
      </c>
      <c r="F174" s="1223">
        <f>D174*E174</f>
        <v>87.5</v>
      </c>
      <c r="G174" s="63">
        <f>F174/$F$183</f>
        <v>1.6211178858399521E-2</v>
      </c>
      <c r="H174" s="482"/>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row>
    <row r="175" spans="1:41" s="1" customFormat="1" ht="12.75" customHeight="1" x14ac:dyDescent="0.2">
      <c r="A175" s="12" t="s">
        <v>505</v>
      </c>
      <c r="C175" s="20"/>
      <c r="D175" s="1222"/>
      <c r="E175" s="61"/>
      <c r="F175" s="1223"/>
      <c r="G175" s="63"/>
      <c r="H175" s="482"/>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row>
    <row r="176" spans="1:41" s="1" customFormat="1" ht="12.75" customHeight="1" x14ac:dyDescent="0.2">
      <c r="A176" s="1" t="str">
        <f>'Standard Vorgaben'!$B$173</f>
        <v>Obstbautraktor 4-Rad (45-54 kW, 61-73 PS)</v>
      </c>
      <c r="B176" s="45">
        <f>'Var Vorgaben'!C195</f>
        <v>0</v>
      </c>
      <c r="C176" s="1275">
        <v>10</v>
      </c>
      <c r="D176" s="817">
        <f>C176*B176</f>
        <v>0</v>
      </c>
      <c r="E176" s="1299">
        <f>'Var Vorgaben'!$D$173*(1+Eingabeseite!$C$24)</f>
        <v>41</v>
      </c>
      <c r="F176" s="475">
        <f>D176*E176</f>
        <v>0</v>
      </c>
      <c r="G176" s="63">
        <f>F176/$F$183</f>
        <v>0</v>
      </c>
      <c r="H176" s="482"/>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row>
    <row r="177" spans="1:41" s="1" customFormat="1" ht="12.75" customHeight="1" x14ac:dyDescent="0.2">
      <c r="A177" s="1" t="str">
        <f>'Standard Vorgaben'!$B$168</f>
        <v>Hebebühne schwer, selbstfahrend, elektrisch</v>
      </c>
      <c r="B177" s="45">
        <f>'Var Vorgaben'!C195</f>
        <v>0</v>
      </c>
      <c r="C177" s="1275">
        <v>10</v>
      </c>
      <c r="D177" s="817">
        <f>C177*B177</f>
        <v>0</v>
      </c>
      <c r="E177" s="1299">
        <f>'Var Vorgaben'!$I$168*(1+Eingabeseite!$C$24)</f>
        <v>17.5</v>
      </c>
      <c r="F177" s="237">
        <f>D177*E177</f>
        <v>0</v>
      </c>
      <c r="G177" s="63">
        <f>F177/$F$183</f>
        <v>0</v>
      </c>
      <c r="H177" s="482"/>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row>
    <row r="178" spans="1:41" s="1" customFormat="1" ht="12.75" customHeight="1" x14ac:dyDescent="0.2">
      <c r="A178"/>
      <c r="C178" s="20"/>
      <c r="D178" s="1222"/>
      <c r="E178" s="61"/>
      <c r="F178" s="1177">
        <f>SUM(F173:F177)</f>
        <v>292.5</v>
      </c>
      <c r="G178" s="1200">
        <f>F178/$F$183</f>
        <v>5.4191655040935538E-2</v>
      </c>
      <c r="H178" s="482"/>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row>
    <row r="179" spans="1:41" s="1" customFormat="1" ht="12.75" customHeight="1" x14ac:dyDescent="0.2">
      <c r="A179"/>
      <c r="C179" s="20"/>
      <c r="D179" s="1222"/>
      <c r="E179" s="61"/>
      <c r="F179" s="1177"/>
      <c r="G179" s="309"/>
      <c r="H179" s="482"/>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row>
    <row r="180" spans="1:41" s="1" customFormat="1" ht="12.75" customHeight="1" x14ac:dyDescent="0.2">
      <c r="A180" t="s">
        <v>198</v>
      </c>
      <c r="C180" s="20"/>
      <c r="D180" s="1164" t="s">
        <v>31</v>
      </c>
      <c r="E180" s="1165" t="s">
        <v>25</v>
      </c>
      <c r="F180" s="475"/>
      <c r="G180" s="309"/>
      <c r="H180" s="482"/>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row>
    <row r="181" spans="1:41" s="1" customFormat="1" ht="12.75" customHeight="1" x14ac:dyDescent="0.2">
      <c r="A181" t="s">
        <v>479</v>
      </c>
      <c r="C181" s="20"/>
      <c r="D181" s="1275">
        <v>50</v>
      </c>
      <c r="E181" s="61">
        <f>'Var Vorgaben'!$C$31</f>
        <v>32.700000000000003</v>
      </c>
      <c r="F181" s="1177">
        <f>D181*E181</f>
        <v>1635.0000000000002</v>
      </c>
      <c r="G181" s="1200">
        <f>F181/$F$183</f>
        <v>0.30291745638266537</v>
      </c>
      <c r="H181" s="482"/>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row>
    <row r="182" spans="1:41" s="1" customFormat="1" ht="12.75" customHeight="1" x14ac:dyDescent="0.2">
      <c r="A182" t="s">
        <v>505</v>
      </c>
      <c r="B182" s="45">
        <f>'Var Vorgaben'!C195</f>
        <v>0</v>
      </c>
      <c r="C182" s="1275">
        <v>175</v>
      </c>
      <c r="D182" s="1222">
        <f>B182*C182</f>
        <v>0</v>
      </c>
      <c r="E182" s="61">
        <f>'Var Vorgaben'!$C$31</f>
        <v>32.700000000000003</v>
      </c>
      <c r="F182" s="1177">
        <f>D182*E182</f>
        <v>0</v>
      </c>
      <c r="G182" s="1200">
        <f>F182/$F$183</f>
        <v>0</v>
      </c>
      <c r="H182" s="482"/>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row>
    <row r="183" spans="1:41" s="1" customFormat="1" ht="18.75" thickBot="1" x14ac:dyDescent="0.3">
      <c r="A183" s="457" t="s">
        <v>498</v>
      </c>
      <c r="B183" s="454"/>
      <c r="C183" s="1368"/>
      <c r="D183" s="1368"/>
      <c r="E183" s="454"/>
      <c r="F183" s="1194">
        <f>F169+F170+F178+F181+F182</f>
        <v>5397.51</v>
      </c>
      <c r="G183" s="1195">
        <f>F183/$F$183</f>
        <v>1</v>
      </c>
      <c r="H183" s="482"/>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row>
    <row r="184" spans="1:41" s="142" customFormat="1" ht="18.75" thickTop="1" x14ac:dyDescent="0.25">
      <c r="A184" s="462"/>
      <c r="B184" s="463"/>
      <c r="C184" s="464"/>
      <c r="D184" s="465"/>
      <c r="E184" s="466"/>
      <c r="F184" s="467"/>
      <c r="G184" s="477"/>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row>
  </sheetData>
  <mergeCells count="3">
    <mergeCell ref="B3:G3"/>
    <mergeCell ref="F60:G60"/>
    <mergeCell ref="D80:G80"/>
  </mergeCells>
  <phoneticPr fontId="25" type="noConversion"/>
  <dataValidations count="2">
    <dataValidation type="custom" showErrorMessage="1" errorTitle="Falsche Bruttofläche" error="Die Bruttofläche entspricht nicht 10000 m2" sqref="J11" xr:uid="{00000000-0002-0000-0200-000000000000}">
      <formula1>J10*J11=10000</formula1>
    </dataValidation>
    <dataValidation type="whole" operator="notEqual" showErrorMessage="1" errorTitle="Falsche Länge" error="Es muss eine Länge eingetragen sein" sqref="E10:G10 J10 E11:E12 F11:G15" xr:uid="{00000000-0002-0000-0200-000001000000}">
      <formula1>0</formula1>
    </dataValidation>
  </dataValidations>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oddFooter>&amp;L&amp;6&amp;F&amp;C&amp;6&amp;A &amp;R&amp;6Kontakt: matthias.zuercher@faw.admin.ch</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Var1_16Standjahre">
    <tabColor rgb="FFFF66CC"/>
  </sheetPr>
  <dimension ref="A1:DN165"/>
  <sheetViews>
    <sheetView zoomScale="90" zoomScaleNormal="90" workbookViewId="0">
      <selection activeCell="B21" sqref="B21"/>
    </sheetView>
  </sheetViews>
  <sheetFormatPr baseColWidth="10" defaultColWidth="11.42578125" defaultRowHeight="12.75" x14ac:dyDescent="0.2"/>
  <cols>
    <col min="1" max="1" width="37.5703125" style="17" customWidth="1"/>
    <col min="2" max="2" width="24.28515625" style="20" customWidth="1"/>
    <col min="3" max="3" width="15.28515625" style="12" customWidth="1"/>
    <col min="4" max="4" width="12.85546875" style="12" customWidth="1"/>
    <col min="5" max="5" width="13.28515625" style="30" customWidth="1"/>
    <col min="6" max="6" width="17.5703125" style="31" customWidth="1"/>
    <col min="7" max="7" width="6.140625" style="12" bestFit="1" customWidth="1"/>
    <col min="8" max="8" width="37.42578125" style="12" customWidth="1"/>
    <col min="9" max="9" width="24.42578125" style="12" customWidth="1"/>
    <col min="10" max="10" width="15.28515625" customWidth="1"/>
    <col min="11" max="11" width="12.85546875" customWidth="1"/>
    <col min="12" max="12" width="13.28515625" customWidth="1"/>
    <col min="13" max="13" width="17.42578125" customWidth="1"/>
    <col min="14" max="14" width="6.140625" customWidth="1"/>
    <col min="15" max="15" width="37.42578125" customWidth="1"/>
    <col min="16" max="16" width="24.42578125" customWidth="1"/>
    <col min="17" max="17" width="15.28515625" customWidth="1"/>
    <col min="18" max="18" width="13" style="32" customWidth="1"/>
    <col min="19" max="19" width="13.28515625" customWidth="1"/>
    <col min="20" max="20" width="17.42578125" customWidth="1"/>
    <col min="21" max="21" width="6" customWidth="1"/>
    <col min="22" max="22" width="37.5703125" customWidth="1"/>
    <col min="23" max="23" width="24.28515625" customWidth="1"/>
    <col min="24" max="24" width="15.140625" customWidth="1"/>
    <col min="25" max="25" width="13" customWidth="1"/>
    <col min="26" max="26" width="13.28515625" customWidth="1"/>
    <col min="27" max="27" width="17.42578125" customWidth="1"/>
    <col min="28" max="28" width="6" customWidth="1"/>
    <col min="29" max="29" width="37.42578125" customWidth="1"/>
    <col min="30" max="30" width="24.42578125" customWidth="1"/>
    <col min="31" max="31" width="15.140625" customWidth="1"/>
    <col min="32" max="32" width="12.85546875" customWidth="1"/>
    <col min="33" max="33" width="13.28515625" customWidth="1"/>
    <col min="34" max="34" width="17.42578125" customWidth="1"/>
    <col min="35" max="35" width="6.140625" bestFit="1" customWidth="1"/>
    <col min="36" max="36" width="37.5703125" customWidth="1"/>
    <col min="37" max="37" width="24.28515625" customWidth="1"/>
    <col min="38" max="38" width="15.140625" customWidth="1"/>
    <col min="39" max="39" width="13" customWidth="1"/>
    <col min="40" max="40" width="13.28515625" customWidth="1"/>
    <col min="41" max="41" width="17.42578125" customWidth="1"/>
    <col min="42" max="42" width="6.140625" bestFit="1" customWidth="1"/>
    <col min="43" max="43" width="37.5703125" customWidth="1"/>
    <col min="44" max="44" width="24.28515625" customWidth="1"/>
    <col min="45" max="45" width="15.28515625" customWidth="1"/>
    <col min="46" max="46" width="12.85546875" customWidth="1"/>
    <col min="47" max="47" width="13.28515625" customWidth="1"/>
    <col min="48" max="48" width="17.42578125" customWidth="1"/>
    <col min="49" max="49" width="6.140625" customWidth="1"/>
    <col min="50" max="50" width="37.5703125" customWidth="1"/>
    <col min="51" max="51" width="24.42578125" customWidth="1"/>
    <col min="52" max="52" width="15.28515625" customWidth="1"/>
    <col min="53" max="53" width="12.85546875" customWidth="1"/>
    <col min="54" max="54" width="13.28515625" customWidth="1"/>
    <col min="55" max="55" width="17.5703125" customWidth="1"/>
    <col min="56" max="56" width="6.140625" customWidth="1"/>
    <col min="57" max="57" width="37.42578125" customWidth="1"/>
    <col min="58" max="58" width="24.42578125" customWidth="1"/>
    <col min="59" max="59" width="15.28515625" customWidth="1"/>
    <col min="60" max="60" width="12.85546875" customWidth="1"/>
    <col min="61" max="61" width="13.28515625" customWidth="1"/>
    <col min="62" max="62" width="17.5703125" customWidth="1"/>
    <col min="63" max="63" width="6.140625" customWidth="1"/>
    <col min="64" max="64" width="37.5703125" customWidth="1"/>
    <col min="65" max="65" width="24.42578125" customWidth="1"/>
    <col min="66" max="66" width="15.140625" customWidth="1"/>
    <col min="67" max="67" width="12.85546875" customWidth="1"/>
    <col min="68" max="68" width="13.28515625" customWidth="1"/>
    <col min="69" max="69" width="17.42578125" customWidth="1"/>
    <col min="70" max="70" width="6.140625" customWidth="1"/>
    <col min="71" max="71" width="37.5703125" customWidth="1"/>
    <col min="72" max="72" width="24.42578125" customWidth="1"/>
    <col min="73" max="73" width="15.140625" customWidth="1"/>
    <col min="74" max="74" width="13" customWidth="1"/>
    <col min="75" max="75" width="13.28515625" customWidth="1"/>
    <col min="76" max="76" width="17.5703125" customWidth="1"/>
    <col min="77" max="77" width="6.140625" customWidth="1"/>
    <col min="78" max="78" width="37.42578125" customWidth="1"/>
    <col min="79" max="79" width="24.42578125" customWidth="1"/>
    <col min="80" max="80" width="15.28515625" customWidth="1"/>
    <col min="81" max="81" width="12.85546875" customWidth="1"/>
    <col min="82" max="82" width="13.42578125" customWidth="1"/>
    <col min="83" max="83" width="17.42578125" customWidth="1"/>
    <col min="84" max="84" width="8.5703125" customWidth="1"/>
    <col min="85" max="85" width="37.42578125" customWidth="1"/>
    <col min="86" max="86" width="24.42578125" customWidth="1"/>
    <col min="87" max="87" width="15.28515625" customWidth="1"/>
    <col min="88" max="88" width="13" customWidth="1"/>
    <col min="89" max="89" width="13.28515625" customWidth="1"/>
    <col min="90" max="90" width="17.42578125" customWidth="1"/>
    <col min="91" max="91" width="6.140625" customWidth="1"/>
    <col min="92" max="92" width="37.42578125" customWidth="1"/>
    <col min="93" max="93" width="24.42578125" customWidth="1"/>
    <col min="94" max="94" width="15.140625" customWidth="1"/>
    <col min="95" max="95" width="12.85546875" customWidth="1"/>
    <col min="96" max="96" width="13.28515625" customWidth="1"/>
    <col min="97" max="97" width="17.42578125" customWidth="1"/>
    <col min="98" max="98" width="6.140625" customWidth="1"/>
    <col min="99" max="99" width="37.42578125" customWidth="1"/>
    <col min="100" max="100" width="24.28515625" customWidth="1"/>
    <col min="101" max="101" width="15.28515625" customWidth="1"/>
    <col min="102" max="102" width="12.85546875" customWidth="1"/>
    <col min="103" max="103" width="13.28515625" customWidth="1"/>
    <col min="104" max="104" width="17.5703125" customWidth="1"/>
    <col min="105" max="105" width="9.42578125" style="18" customWidth="1"/>
    <col min="106" max="106" width="37.42578125" customWidth="1"/>
    <col min="107" max="107" width="24.28515625" customWidth="1"/>
    <col min="108" max="108" width="15.140625" customWidth="1"/>
    <col min="109" max="109" width="12.85546875" customWidth="1"/>
    <col min="110" max="110" width="13.28515625" customWidth="1"/>
    <col min="111" max="111" width="17.5703125" customWidth="1"/>
    <col min="112" max="112" width="6" style="18" customWidth="1"/>
  </cols>
  <sheetData>
    <row r="1" spans="1:112" ht="26.25" x14ac:dyDescent="0.4">
      <c r="A1" s="346" t="str">
        <f>'Standard Vorgaben'!A1</f>
        <v>Arbokost 2024</v>
      </c>
      <c r="B1" s="375" t="str">
        <f>'Var Vorgaben'!B8</f>
        <v>Tafelkirsche</v>
      </c>
      <c r="C1" s="332"/>
      <c r="D1" s="332"/>
      <c r="E1" s="347"/>
      <c r="F1" s="348"/>
      <c r="G1" s="332"/>
      <c r="H1" s="332"/>
      <c r="I1" s="332"/>
      <c r="J1" s="328"/>
      <c r="K1" s="328"/>
      <c r="L1" s="328"/>
      <c r="M1" s="328"/>
      <c r="N1" s="328"/>
      <c r="O1" s="328"/>
      <c r="P1" s="328"/>
      <c r="Q1" s="328"/>
      <c r="R1" s="349"/>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28"/>
      <c r="BX1" s="328"/>
      <c r="BY1" s="328"/>
      <c r="BZ1" s="328"/>
      <c r="CA1" s="328"/>
      <c r="CB1" s="328"/>
      <c r="CC1" s="328"/>
      <c r="CD1" s="328"/>
      <c r="CE1" s="328"/>
      <c r="CF1" s="328"/>
      <c r="CG1" s="328"/>
      <c r="CH1" s="328"/>
      <c r="CI1" s="328"/>
      <c r="CJ1" s="328"/>
      <c r="CK1" s="328"/>
      <c r="CL1" s="328"/>
      <c r="CM1" s="328"/>
      <c r="CN1" s="328"/>
      <c r="CO1" s="328"/>
      <c r="CP1" s="328"/>
      <c r="CQ1" s="328"/>
      <c r="CR1" s="328"/>
      <c r="CS1" s="328"/>
      <c r="CT1" s="328"/>
      <c r="CU1" s="328"/>
      <c r="CV1" s="328"/>
      <c r="CW1" s="328"/>
      <c r="CX1" s="328"/>
      <c r="CY1" s="328"/>
      <c r="CZ1" s="328"/>
      <c r="DA1" s="330"/>
      <c r="DB1" s="328"/>
      <c r="DC1" s="328"/>
      <c r="DD1" s="328"/>
      <c r="DE1" s="328"/>
      <c r="DF1" s="328"/>
      <c r="DG1" s="328"/>
      <c r="DH1" s="330"/>
    </row>
    <row r="2" spans="1:112" x14ac:dyDescent="0.2">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row>
    <row r="3" spans="1:112" ht="4.7" customHeight="1" x14ac:dyDescent="0.2">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row>
    <row r="4" spans="1:112" ht="24.75" customHeight="1" x14ac:dyDescent="0.3">
      <c r="A4" s="350" t="s">
        <v>346</v>
      </c>
      <c r="B4" s="331"/>
      <c r="C4" s="332"/>
      <c r="D4" s="333"/>
      <c r="E4" s="328"/>
      <c r="F4" s="328"/>
      <c r="G4" s="334"/>
      <c r="H4" s="338" t="s">
        <v>346</v>
      </c>
      <c r="I4" s="331"/>
      <c r="J4" s="332"/>
      <c r="K4" s="333"/>
      <c r="L4" s="328"/>
      <c r="M4" s="333"/>
      <c r="N4" s="334"/>
      <c r="O4" s="338" t="s">
        <v>346</v>
      </c>
      <c r="P4" s="331"/>
      <c r="Q4" s="332"/>
      <c r="R4" s="333"/>
      <c r="S4" s="328"/>
      <c r="T4" s="328"/>
      <c r="U4" s="334"/>
      <c r="V4" s="338" t="s">
        <v>346</v>
      </c>
      <c r="W4" s="331"/>
      <c r="X4" s="332"/>
      <c r="Y4" s="333"/>
      <c r="Z4" s="328"/>
      <c r="AA4" s="333"/>
      <c r="AB4" s="334"/>
      <c r="AC4" s="338" t="s">
        <v>346</v>
      </c>
      <c r="AD4" s="331"/>
      <c r="AE4" s="332"/>
      <c r="AF4" s="331"/>
      <c r="AG4" s="331"/>
      <c r="AH4" s="332"/>
      <c r="AI4" s="334"/>
      <c r="AJ4" s="338" t="s">
        <v>346</v>
      </c>
      <c r="AK4" s="331"/>
      <c r="AL4" s="332"/>
      <c r="AM4" s="333"/>
      <c r="AN4" s="328"/>
      <c r="AO4" s="333"/>
      <c r="AP4" s="334"/>
      <c r="AQ4" s="338" t="s">
        <v>346</v>
      </c>
      <c r="AR4" s="331"/>
      <c r="AS4" s="332"/>
      <c r="AT4" s="328"/>
      <c r="AU4" s="328"/>
      <c r="AV4" s="328"/>
      <c r="AW4" s="334"/>
      <c r="AX4" s="338" t="s">
        <v>346</v>
      </c>
      <c r="AY4" s="331"/>
      <c r="AZ4" s="332"/>
      <c r="BA4" s="333"/>
      <c r="BB4" s="328"/>
      <c r="BC4" s="333"/>
      <c r="BD4" s="334"/>
      <c r="BE4" s="338" t="s">
        <v>346</v>
      </c>
      <c r="BF4" s="331"/>
      <c r="BG4" s="332"/>
      <c r="BH4" s="328"/>
      <c r="BI4" s="328"/>
      <c r="BJ4" s="328"/>
      <c r="BK4" s="334"/>
      <c r="BL4" s="338" t="s">
        <v>346</v>
      </c>
      <c r="BM4" s="331"/>
      <c r="BN4" s="332"/>
      <c r="BO4" s="333"/>
      <c r="BP4" s="328"/>
      <c r="BQ4" s="333"/>
      <c r="BR4" s="334"/>
      <c r="BS4" s="338" t="s">
        <v>346</v>
      </c>
      <c r="BT4" s="331"/>
      <c r="BU4" s="332"/>
      <c r="BV4" s="328"/>
      <c r="BW4" s="328"/>
      <c r="BX4" s="328"/>
      <c r="BY4" s="334"/>
      <c r="BZ4" s="338" t="s">
        <v>346</v>
      </c>
      <c r="CA4" s="331"/>
      <c r="CB4" s="332"/>
      <c r="CC4" s="333"/>
      <c r="CD4" s="328"/>
      <c r="CE4" s="333"/>
      <c r="CF4" s="334"/>
      <c r="CG4" s="338" t="s">
        <v>346</v>
      </c>
      <c r="CH4" s="331"/>
      <c r="CI4" s="332"/>
      <c r="CJ4" s="328"/>
      <c r="CK4" s="328"/>
      <c r="CL4" s="328"/>
      <c r="CM4" s="334"/>
      <c r="CN4" s="338" t="s">
        <v>346</v>
      </c>
      <c r="CO4" s="331"/>
      <c r="CP4" s="332"/>
      <c r="CQ4" s="333"/>
      <c r="CR4" s="328"/>
      <c r="CS4" s="333"/>
      <c r="CT4" s="334"/>
      <c r="CU4" s="338" t="s">
        <v>346</v>
      </c>
      <c r="CV4" s="331"/>
      <c r="CW4" s="332"/>
      <c r="CX4" s="333"/>
      <c r="CY4" s="328"/>
      <c r="CZ4" s="328"/>
      <c r="DA4" s="334"/>
      <c r="DB4" s="338" t="s">
        <v>346</v>
      </c>
      <c r="DC4" s="331"/>
      <c r="DD4" s="332"/>
      <c r="DE4" s="333"/>
      <c r="DF4" s="328"/>
      <c r="DG4" s="333"/>
      <c r="DH4" s="334"/>
    </row>
    <row r="5" spans="1:112" ht="16.5" customHeight="1" x14ac:dyDescent="0.3">
      <c r="A5" s="594" t="s">
        <v>43</v>
      </c>
      <c r="B5" s="484">
        <f>Eingabeseite!D21</f>
        <v>900</v>
      </c>
      <c r="C5" s="595"/>
      <c r="D5" s="338"/>
      <c r="E5" s="538" t="s">
        <v>126</v>
      </c>
      <c r="F5" s="539"/>
      <c r="G5" s="338"/>
      <c r="H5" s="606" t="s">
        <v>44</v>
      </c>
      <c r="I5" s="595"/>
      <c r="J5" s="595"/>
      <c r="K5" s="338"/>
      <c r="L5" s="338"/>
      <c r="M5" s="338"/>
      <c r="N5" s="338"/>
      <c r="O5" s="606" t="s">
        <v>45</v>
      </c>
      <c r="P5" s="595"/>
      <c r="Q5" s="595"/>
      <c r="R5" s="338"/>
      <c r="S5" s="538" t="s">
        <v>126</v>
      </c>
      <c r="T5" s="539"/>
      <c r="U5" s="338"/>
      <c r="V5" s="606" t="s">
        <v>46</v>
      </c>
      <c r="W5" s="595"/>
      <c r="X5" s="595"/>
      <c r="Y5" s="338"/>
      <c r="Z5" s="338"/>
      <c r="AA5" s="338"/>
      <c r="AB5" s="338"/>
      <c r="AC5" s="606" t="s">
        <v>47</v>
      </c>
      <c r="AD5" s="595"/>
      <c r="AE5" s="595"/>
      <c r="AF5" s="595"/>
      <c r="AG5" s="595"/>
      <c r="AH5" s="595"/>
      <c r="AI5" s="338"/>
      <c r="AJ5" s="606" t="s">
        <v>48</v>
      </c>
      <c r="AK5" s="595"/>
      <c r="AL5" s="595"/>
      <c r="AM5" s="338"/>
      <c r="AN5" s="338"/>
      <c r="AO5" s="338"/>
      <c r="AP5" s="338"/>
      <c r="AQ5" s="606" t="s">
        <v>49</v>
      </c>
      <c r="AR5" s="595"/>
      <c r="AS5" s="595"/>
      <c r="AT5" s="331"/>
      <c r="AU5" s="331"/>
      <c r="AV5" s="332"/>
      <c r="AW5" s="338"/>
      <c r="AX5" s="606" t="s">
        <v>50</v>
      </c>
      <c r="AY5" s="595"/>
      <c r="AZ5" s="595"/>
      <c r="BA5" s="338"/>
      <c r="BB5" s="338"/>
      <c r="BC5" s="338"/>
      <c r="BD5" s="338"/>
      <c r="BE5" s="606" t="s">
        <v>51</v>
      </c>
      <c r="BF5" s="595"/>
      <c r="BG5" s="595"/>
      <c r="BH5" s="331"/>
      <c r="BI5" s="331"/>
      <c r="BJ5" s="332"/>
      <c r="BK5" s="338"/>
      <c r="BL5" s="606" t="s">
        <v>52</v>
      </c>
      <c r="BM5" s="595"/>
      <c r="BN5" s="595"/>
      <c r="BO5" s="338"/>
      <c r="BP5" s="338"/>
      <c r="BQ5" s="338"/>
      <c r="BR5" s="338"/>
      <c r="BS5" s="606" t="s">
        <v>53</v>
      </c>
      <c r="BT5" s="595"/>
      <c r="BU5" s="595"/>
      <c r="BV5" s="331"/>
      <c r="BW5" s="331"/>
      <c r="BX5" s="332"/>
      <c r="BY5" s="338"/>
      <c r="BZ5" s="606" t="s">
        <v>54</v>
      </c>
      <c r="CA5" s="595"/>
      <c r="CB5" s="595"/>
      <c r="CC5" s="338"/>
      <c r="CD5" s="338"/>
      <c r="CE5" s="338"/>
      <c r="CF5" s="338"/>
      <c r="CG5" s="606" t="s">
        <v>55</v>
      </c>
      <c r="CH5" s="595"/>
      <c r="CI5" s="595"/>
      <c r="CJ5" s="331"/>
      <c r="CK5" s="331"/>
      <c r="CL5" s="332"/>
      <c r="CM5" s="29"/>
      <c r="CN5" s="606" t="s">
        <v>56</v>
      </c>
      <c r="CO5" s="595"/>
      <c r="CP5" s="595"/>
      <c r="CQ5" s="338"/>
      <c r="CR5" s="338"/>
      <c r="CS5" s="338"/>
      <c r="CT5" s="338"/>
      <c r="CU5" s="606" t="s">
        <v>57</v>
      </c>
      <c r="CV5" s="595"/>
      <c r="CW5" s="595"/>
      <c r="CX5" s="338"/>
      <c r="CY5" s="331"/>
      <c r="CZ5" s="332"/>
      <c r="DA5" s="338"/>
      <c r="DB5" s="606" t="s">
        <v>179</v>
      </c>
      <c r="DC5" s="595"/>
      <c r="DD5" s="595"/>
      <c r="DE5" s="338"/>
      <c r="DF5" s="338"/>
      <c r="DG5" s="338"/>
      <c r="DH5" s="338"/>
    </row>
    <row r="6" spans="1:112" ht="16.5" customHeight="1" x14ac:dyDescent="0.25">
      <c r="A6" s="1098" t="s">
        <v>152</v>
      </c>
      <c r="B6" s="596"/>
      <c r="C6" s="338"/>
      <c r="D6" s="338"/>
      <c r="E6" s="338"/>
      <c r="F6" s="338"/>
      <c r="G6" s="338"/>
      <c r="H6" s="1098" t="s">
        <v>152</v>
      </c>
      <c r="I6" s="597"/>
      <c r="J6" s="338"/>
      <c r="K6" s="598"/>
      <c r="L6" s="598"/>
      <c r="M6" s="599"/>
      <c r="N6" s="338"/>
      <c r="O6" s="1098" t="s">
        <v>152</v>
      </c>
      <c r="P6" s="597"/>
      <c r="Q6" s="338"/>
      <c r="R6" s="598"/>
      <c r="S6" s="328"/>
      <c r="T6" s="328"/>
      <c r="U6" s="600"/>
      <c r="V6" s="1098" t="s">
        <v>152</v>
      </c>
      <c r="W6" s="597"/>
      <c r="X6" s="338"/>
      <c r="Y6" s="598"/>
      <c r="Z6" s="598"/>
      <c r="AA6" s="599"/>
      <c r="AB6" s="600"/>
      <c r="AC6" s="1098" t="s">
        <v>152</v>
      </c>
      <c r="AD6" s="597"/>
      <c r="AE6" s="338"/>
      <c r="AF6" s="598"/>
      <c r="AG6" s="598"/>
      <c r="AH6" s="599"/>
      <c r="AI6" s="600"/>
      <c r="AJ6" s="1098" t="s">
        <v>152</v>
      </c>
      <c r="AK6" s="597"/>
      <c r="AL6" s="338"/>
      <c r="AM6" s="598"/>
      <c r="AN6" s="598"/>
      <c r="AO6" s="599"/>
      <c r="AP6" s="600"/>
      <c r="AQ6" s="1098" t="s">
        <v>152</v>
      </c>
      <c r="AR6" s="597"/>
      <c r="AS6" s="338"/>
      <c r="AT6" s="595"/>
      <c r="AU6" s="595"/>
      <c r="AV6" s="595"/>
      <c r="AW6" s="600"/>
      <c r="AX6" s="1098" t="s">
        <v>152</v>
      </c>
      <c r="AY6" s="597"/>
      <c r="AZ6" s="338"/>
      <c r="BA6" s="598"/>
      <c r="BB6" s="598"/>
      <c r="BC6" s="599"/>
      <c r="BD6" s="600"/>
      <c r="BE6" s="1098" t="s">
        <v>152</v>
      </c>
      <c r="BF6" s="597"/>
      <c r="BG6" s="338"/>
      <c r="BH6" s="595"/>
      <c r="BI6" s="595"/>
      <c r="BJ6" s="595"/>
      <c r="BK6" s="600"/>
      <c r="BL6" s="1098" t="s">
        <v>152</v>
      </c>
      <c r="BM6" s="597"/>
      <c r="BN6" s="338"/>
      <c r="BO6" s="598"/>
      <c r="BP6" s="598"/>
      <c r="BQ6" s="599"/>
      <c r="BR6" s="600"/>
      <c r="BS6" s="1098" t="s">
        <v>152</v>
      </c>
      <c r="BT6" s="597"/>
      <c r="BU6" s="338"/>
      <c r="BV6" s="595"/>
      <c r="BW6" s="595"/>
      <c r="BX6" s="595"/>
      <c r="BY6" s="600"/>
      <c r="BZ6" s="1098" t="s">
        <v>152</v>
      </c>
      <c r="CA6" s="597"/>
      <c r="CB6" s="338"/>
      <c r="CC6" s="598"/>
      <c r="CD6" s="598"/>
      <c r="CE6" s="599"/>
      <c r="CF6" s="600"/>
      <c r="CG6" s="1098" t="s">
        <v>152</v>
      </c>
      <c r="CH6" s="597"/>
      <c r="CI6" s="338"/>
      <c r="CJ6" s="595"/>
      <c r="CK6" s="595"/>
      <c r="CL6" s="595"/>
      <c r="CM6" s="600"/>
      <c r="CN6" s="1098" t="s">
        <v>152</v>
      </c>
      <c r="CO6" s="597"/>
      <c r="CP6" s="338"/>
      <c r="CQ6" s="598"/>
      <c r="CR6" s="598"/>
      <c r="CS6" s="599"/>
      <c r="CT6" s="600"/>
      <c r="CU6" s="1098" t="s">
        <v>152</v>
      </c>
      <c r="CV6" s="597"/>
      <c r="CW6" s="338"/>
      <c r="CX6" s="598"/>
      <c r="CY6" s="595"/>
      <c r="CZ6" s="595"/>
      <c r="DA6" s="601"/>
      <c r="DB6" s="1098" t="s">
        <v>152</v>
      </c>
      <c r="DC6" s="597"/>
      <c r="DD6" s="338"/>
      <c r="DE6" s="598"/>
      <c r="DF6" s="598"/>
      <c r="DG6" s="599"/>
      <c r="DH6" s="602"/>
    </row>
    <row r="7" spans="1:112" x14ac:dyDescent="0.2">
      <c r="C7" s="34" t="s">
        <v>58</v>
      </c>
      <c r="D7" s="34" t="s">
        <v>59</v>
      </c>
      <c r="E7" s="35" t="s">
        <v>60</v>
      </c>
      <c r="F7" s="36" t="s">
        <v>61</v>
      </c>
      <c r="G7" s="726" t="s">
        <v>62</v>
      </c>
      <c r="H7" s="317"/>
      <c r="I7" s="20"/>
      <c r="J7" s="34" t="s">
        <v>58</v>
      </c>
      <c r="K7" s="34" t="s">
        <v>59</v>
      </c>
      <c r="L7" s="35" t="s">
        <v>60</v>
      </c>
      <c r="M7" s="36" t="s">
        <v>61</v>
      </c>
      <c r="N7" s="37" t="s">
        <v>62</v>
      </c>
      <c r="O7" s="17"/>
      <c r="P7" s="20"/>
      <c r="Q7" s="34" t="s">
        <v>58</v>
      </c>
      <c r="R7" s="34" t="s">
        <v>59</v>
      </c>
      <c r="S7" s="35" t="s">
        <v>60</v>
      </c>
      <c r="T7" s="36" t="s">
        <v>61</v>
      </c>
      <c r="U7" s="37" t="s">
        <v>62</v>
      </c>
      <c r="V7" s="17"/>
      <c r="W7" s="20"/>
      <c r="X7" s="34" t="s">
        <v>58</v>
      </c>
      <c r="Y7" s="34" t="s">
        <v>59</v>
      </c>
      <c r="Z7" s="35" t="s">
        <v>60</v>
      </c>
      <c r="AA7" s="36" t="s">
        <v>61</v>
      </c>
      <c r="AB7" s="37" t="s">
        <v>62</v>
      </c>
      <c r="AC7" s="17"/>
      <c r="AD7" s="20"/>
      <c r="AE7" s="34" t="s">
        <v>58</v>
      </c>
      <c r="AF7" s="34" t="s">
        <v>59</v>
      </c>
      <c r="AG7" s="35" t="s">
        <v>60</v>
      </c>
      <c r="AH7" s="36" t="s">
        <v>61</v>
      </c>
      <c r="AI7" s="37" t="s">
        <v>62</v>
      </c>
      <c r="AJ7" s="17"/>
      <c r="AK7" s="20"/>
      <c r="AL7" s="34" t="s">
        <v>58</v>
      </c>
      <c r="AM7" s="34" t="s">
        <v>59</v>
      </c>
      <c r="AN7" s="35" t="s">
        <v>60</v>
      </c>
      <c r="AO7" s="36" t="s">
        <v>61</v>
      </c>
      <c r="AP7" s="37" t="s">
        <v>62</v>
      </c>
      <c r="AQ7" s="17"/>
      <c r="AR7" s="20"/>
      <c r="AS7" s="34" t="s">
        <v>58</v>
      </c>
      <c r="AT7" s="34" t="s">
        <v>59</v>
      </c>
      <c r="AU7" s="35" t="s">
        <v>60</v>
      </c>
      <c r="AV7" s="36" t="s">
        <v>61</v>
      </c>
      <c r="AW7" s="37" t="s">
        <v>62</v>
      </c>
      <c r="AX7" s="17"/>
      <c r="AY7" s="20"/>
      <c r="AZ7" s="34" t="s">
        <v>58</v>
      </c>
      <c r="BA7" s="34" t="s">
        <v>59</v>
      </c>
      <c r="BB7" s="35" t="s">
        <v>60</v>
      </c>
      <c r="BC7" s="36" t="s">
        <v>61</v>
      </c>
      <c r="BD7" s="37" t="s">
        <v>62</v>
      </c>
      <c r="BE7" s="17"/>
      <c r="BF7" s="20"/>
      <c r="BG7" s="34" t="s">
        <v>58</v>
      </c>
      <c r="BH7" s="34" t="s">
        <v>59</v>
      </c>
      <c r="BI7" s="35" t="s">
        <v>60</v>
      </c>
      <c r="BJ7" s="36" t="s">
        <v>61</v>
      </c>
      <c r="BK7" s="37" t="s">
        <v>62</v>
      </c>
      <c r="BL7" s="17"/>
      <c r="BM7" s="20"/>
      <c r="BN7" s="34" t="s">
        <v>58</v>
      </c>
      <c r="BO7" s="34" t="s">
        <v>59</v>
      </c>
      <c r="BP7" s="35" t="s">
        <v>60</v>
      </c>
      <c r="BQ7" s="36" t="s">
        <v>61</v>
      </c>
      <c r="BR7" s="37" t="s">
        <v>62</v>
      </c>
      <c r="BS7" s="17"/>
      <c r="BT7" s="20"/>
      <c r="BU7" s="34" t="s">
        <v>58</v>
      </c>
      <c r="BV7" s="34" t="s">
        <v>59</v>
      </c>
      <c r="BW7" s="35" t="s">
        <v>60</v>
      </c>
      <c r="BX7" s="36" t="s">
        <v>61</v>
      </c>
      <c r="BY7" s="37" t="s">
        <v>62</v>
      </c>
      <c r="BZ7" s="17"/>
      <c r="CA7" s="20"/>
      <c r="CB7" s="34" t="s">
        <v>58</v>
      </c>
      <c r="CC7" s="34" t="s">
        <v>59</v>
      </c>
      <c r="CD7" s="35" t="s">
        <v>60</v>
      </c>
      <c r="CE7" s="36" t="s">
        <v>61</v>
      </c>
      <c r="CF7" s="37" t="s">
        <v>62</v>
      </c>
      <c r="CG7" s="17"/>
      <c r="CH7" s="20"/>
      <c r="CI7" s="34" t="s">
        <v>58</v>
      </c>
      <c r="CJ7" s="34" t="s">
        <v>59</v>
      </c>
      <c r="CK7" s="35" t="s">
        <v>60</v>
      </c>
      <c r="CL7" s="36" t="s">
        <v>61</v>
      </c>
      <c r="CM7" s="37" t="s">
        <v>62</v>
      </c>
      <c r="CN7" s="17"/>
      <c r="CO7" s="20"/>
      <c r="CP7" s="34" t="s">
        <v>58</v>
      </c>
      <c r="CQ7" s="34" t="s">
        <v>59</v>
      </c>
      <c r="CR7" s="35" t="s">
        <v>60</v>
      </c>
      <c r="CS7" s="36" t="s">
        <v>61</v>
      </c>
      <c r="CT7" s="37" t="s">
        <v>62</v>
      </c>
      <c r="CU7" s="17"/>
      <c r="CV7" s="20"/>
      <c r="CW7" s="34" t="s">
        <v>58</v>
      </c>
      <c r="CX7" s="34" t="s">
        <v>59</v>
      </c>
      <c r="CY7" s="35" t="s">
        <v>60</v>
      </c>
      <c r="CZ7" s="36" t="s">
        <v>61</v>
      </c>
      <c r="DA7" s="37" t="s">
        <v>62</v>
      </c>
      <c r="DB7" s="17"/>
      <c r="DC7" s="20"/>
      <c r="DD7" s="34" t="s">
        <v>58</v>
      </c>
      <c r="DE7" s="34" t="s">
        <v>59</v>
      </c>
      <c r="DF7" s="35" t="s">
        <v>60</v>
      </c>
      <c r="DG7" s="36" t="s">
        <v>61</v>
      </c>
      <c r="DH7" s="37" t="s">
        <v>62</v>
      </c>
    </row>
    <row r="8" spans="1:112" ht="13.7" customHeight="1" x14ac:dyDescent="0.2">
      <c r="A8" s="22" t="s">
        <v>63</v>
      </c>
      <c r="B8" s="62" t="str">
        <f>'Var Vorgaben'!$B$40</f>
        <v xml:space="preserve"> 22+ mm</v>
      </c>
      <c r="C8" s="603">
        <f>D8/$B$5</f>
        <v>0</v>
      </c>
      <c r="D8" s="483">
        <f>G8*D10</f>
        <v>0</v>
      </c>
      <c r="E8" s="691">
        <f>'Var Vorgaben'!$B$41</f>
        <v>8.1999999999999993</v>
      </c>
      <c r="F8" s="261">
        <f>D8*E8</f>
        <v>0</v>
      </c>
      <c r="G8" s="89">
        <f>'Var Vorgaben'!B65</f>
        <v>0.90000000000000024</v>
      </c>
      <c r="H8" s="317" t="s">
        <v>63</v>
      </c>
      <c r="I8" s="62" t="str">
        <f>'Var Vorgaben'!$B$40</f>
        <v xml:space="preserve"> 22+ mm</v>
      </c>
      <c r="J8" s="603">
        <f>K8/$B$5</f>
        <v>0</v>
      </c>
      <c r="K8" s="483">
        <f>N8*K10</f>
        <v>0</v>
      </c>
      <c r="L8" s="691">
        <f>'Var Vorgaben'!$B$41</f>
        <v>8.1999999999999993</v>
      </c>
      <c r="M8" s="261">
        <f>K8*L8</f>
        <v>0</v>
      </c>
      <c r="N8" s="89">
        <f>'Var Vorgaben'!B66</f>
        <v>0.90000000000000024</v>
      </c>
      <c r="O8" s="317" t="s">
        <v>63</v>
      </c>
      <c r="P8" s="62" t="str">
        <f>'Var Vorgaben'!$B$40</f>
        <v xml:space="preserve"> 22+ mm</v>
      </c>
      <c r="Q8" s="603">
        <f>R8/$B$5</f>
        <v>1.0950000000000002</v>
      </c>
      <c r="R8" s="483">
        <f>U8*R10</f>
        <v>985.50000000000023</v>
      </c>
      <c r="S8" s="691">
        <f>'Var Vorgaben'!$B$41</f>
        <v>8.1999999999999993</v>
      </c>
      <c r="T8" s="261">
        <f>R8*S8</f>
        <v>8081.1000000000013</v>
      </c>
      <c r="U8" s="89">
        <f>'Var Vorgaben'!B67</f>
        <v>0.90000000000000024</v>
      </c>
      <c r="V8" s="317" t="s">
        <v>63</v>
      </c>
      <c r="W8" s="62" t="str">
        <f>'Var Vorgaben'!$B$40</f>
        <v xml:space="preserve"> 22+ mm</v>
      </c>
      <c r="X8" s="603">
        <f>Y8/$B$5</f>
        <v>3.6500000000000008</v>
      </c>
      <c r="Y8" s="483">
        <f>AB8*Y10</f>
        <v>3285.0000000000009</v>
      </c>
      <c r="Z8" s="691">
        <f>'Var Vorgaben'!$B$41</f>
        <v>8.1999999999999993</v>
      </c>
      <c r="AA8" s="261">
        <f>Y8*Z8</f>
        <v>26937.000000000004</v>
      </c>
      <c r="AB8" s="89">
        <f>'Var Vorgaben'!B68</f>
        <v>0.90000000000000024</v>
      </c>
      <c r="AC8" s="317" t="s">
        <v>63</v>
      </c>
      <c r="AD8" s="62" t="str">
        <f>'Var Vorgaben'!$B$40</f>
        <v xml:space="preserve"> 22+ mm</v>
      </c>
      <c r="AE8" s="603">
        <f>AF8/$B$5</f>
        <v>10.000000000000002</v>
      </c>
      <c r="AF8" s="483">
        <f>AI8*AF10</f>
        <v>9000.0000000000018</v>
      </c>
      <c r="AG8" s="691">
        <f>'Var Vorgaben'!$B$41</f>
        <v>8.1999999999999993</v>
      </c>
      <c r="AH8" s="261">
        <f>AF8*AG8</f>
        <v>73800.000000000015</v>
      </c>
      <c r="AI8" s="89">
        <f>'Var Vorgaben'!B69</f>
        <v>0.90000000000000024</v>
      </c>
      <c r="AJ8" s="317" t="s">
        <v>63</v>
      </c>
      <c r="AK8" s="62" t="str">
        <f>'Var Vorgaben'!$B$40</f>
        <v xml:space="preserve"> 22+ mm</v>
      </c>
      <c r="AL8" s="603">
        <f>AM8/$B$5</f>
        <v>10.000000000000002</v>
      </c>
      <c r="AM8" s="483">
        <f>AP8*AM10</f>
        <v>9000.0000000000018</v>
      </c>
      <c r="AN8" s="691">
        <f>'Var Vorgaben'!$B$41</f>
        <v>8.1999999999999993</v>
      </c>
      <c r="AO8" s="261">
        <f>AM8*AN8</f>
        <v>73800.000000000015</v>
      </c>
      <c r="AP8" s="89">
        <f>'Var Vorgaben'!B70</f>
        <v>0.90000000000000024</v>
      </c>
      <c r="AQ8" s="317" t="s">
        <v>63</v>
      </c>
      <c r="AR8" s="62" t="str">
        <f>'Var Vorgaben'!$B$40</f>
        <v xml:space="preserve"> 22+ mm</v>
      </c>
      <c r="AS8" s="603">
        <f>AT8/$B$5</f>
        <v>10.000000000000002</v>
      </c>
      <c r="AT8" s="483">
        <f>AW8*AT10</f>
        <v>9000.0000000000018</v>
      </c>
      <c r="AU8" s="691">
        <f>'Var Vorgaben'!$B$41</f>
        <v>8.1999999999999993</v>
      </c>
      <c r="AV8" s="261">
        <f>AT8*AU8</f>
        <v>73800.000000000015</v>
      </c>
      <c r="AW8" s="89">
        <f>'Var Vorgaben'!B71</f>
        <v>0.90000000000000024</v>
      </c>
      <c r="AX8" s="317" t="s">
        <v>63</v>
      </c>
      <c r="AY8" s="62" t="str">
        <f>'Var Vorgaben'!$B$40</f>
        <v xml:space="preserve"> 22+ mm</v>
      </c>
      <c r="AZ8" s="603">
        <f>BA8/$B$5</f>
        <v>10.000000000000002</v>
      </c>
      <c r="BA8" s="483">
        <f>BD8*BA10</f>
        <v>9000.0000000000018</v>
      </c>
      <c r="BB8" s="691">
        <f>'Var Vorgaben'!$B$41</f>
        <v>8.1999999999999993</v>
      </c>
      <c r="BC8" s="261">
        <f>BA8*BB8</f>
        <v>73800.000000000015</v>
      </c>
      <c r="BD8" s="89">
        <f>'Var Vorgaben'!B72</f>
        <v>0.90000000000000024</v>
      </c>
      <c r="BE8" s="317" t="s">
        <v>63</v>
      </c>
      <c r="BF8" s="62" t="str">
        <f>'Var Vorgaben'!$B$40</f>
        <v xml:space="preserve"> 22+ mm</v>
      </c>
      <c r="BG8" s="603">
        <f>BH8/$B$5</f>
        <v>10.000000000000002</v>
      </c>
      <c r="BH8" s="483">
        <f>BK8*BH10</f>
        <v>9000.0000000000018</v>
      </c>
      <c r="BI8" s="691">
        <f>'Var Vorgaben'!$B$41</f>
        <v>8.1999999999999993</v>
      </c>
      <c r="BJ8" s="261">
        <f>BH8*BI8</f>
        <v>73800.000000000015</v>
      </c>
      <c r="BK8" s="89">
        <f>'Var Vorgaben'!B73</f>
        <v>0.90000000000000024</v>
      </c>
      <c r="BL8" s="317" t="s">
        <v>63</v>
      </c>
      <c r="BM8" s="62" t="str">
        <f>'Var Vorgaben'!$B$40</f>
        <v xml:space="preserve"> 22+ mm</v>
      </c>
      <c r="BN8" s="603">
        <f>BO8/$B$5</f>
        <v>10.000000000000002</v>
      </c>
      <c r="BO8" s="483">
        <f>BR8*BO10</f>
        <v>9000.0000000000018</v>
      </c>
      <c r="BP8" s="691">
        <f>'Var Vorgaben'!$B$41</f>
        <v>8.1999999999999993</v>
      </c>
      <c r="BQ8" s="261">
        <f>BO8*BP8</f>
        <v>73800.000000000015</v>
      </c>
      <c r="BR8" s="89">
        <f>'Var Vorgaben'!B74</f>
        <v>0.90000000000000024</v>
      </c>
      <c r="BS8" s="317" t="s">
        <v>63</v>
      </c>
      <c r="BT8" s="62" t="str">
        <f>'Var Vorgaben'!$B$40</f>
        <v xml:space="preserve"> 22+ mm</v>
      </c>
      <c r="BU8" s="603">
        <f>BV8/$B$5</f>
        <v>10.000000000000002</v>
      </c>
      <c r="BV8" s="483">
        <f>BY8*BV10</f>
        <v>9000.0000000000018</v>
      </c>
      <c r="BW8" s="691">
        <f>'Var Vorgaben'!$B$41</f>
        <v>8.1999999999999993</v>
      </c>
      <c r="BX8" s="261">
        <f>BV8*BW8</f>
        <v>73800.000000000015</v>
      </c>
      <c r="BY8" s="89">
        <f>'Var Vorgaben'!B75</f>
        <v>0.90000000000000024</v>
      </c>
      <c r="BZ8" s="317" t="s">
        <v>63</v>
      </c>
      <c r="CA8" s="62" t="str">
        <f>'Var Vorgaben'!$B$40</f>
        <v xml:space="preserve"> 22+ mm</v>
      </c>
      <c r="CB8" s="603">
        <f>CC8/$B$5</f>
        <v>10.000000000000002</v>
      </c>
      <c r="CC8" s="483">
        <f>CF8*CC10</f>
        <v>9000.0000000000018</v>
      </c>
      <c r="CD8" s="691">
        <f>'Var Vorgaben'!$B$41</f>
        <v>8.1999999999999993</v>
      </c>
      <c r="CE8" s="261">
        <f>CC8*CD8</f>
        <v>73800.000000000015</v>
      </c>
      <c r="CF8" s="89">
        <f>'Var Vorgaben'!B76</f>
        <v>0.90000000000000024</v>
      </c>
      <c r="CG8" s="317" t="s">
        <v>63</v>
      </c>
      <c r="CH8" s="62" t="str">
        <f>'Var Vorgaben'!$B$40</f>
        <v xml:space="preserve"> 22+ mm</v>
      </c>
      <c r="CI8" s="603">
        <f>CJ8/$B$5</f>
        <v>10.000000000000002</v>
      </c>
      <c r="CJ8" s="483">
        <f>CM8*CJ10</f>
        <v>9000.0000000000018</v>
      </c>
      <c r="CK8" s="691">
        <f>'Var Vorgaben'!$B$41</f>
        <v>8.1999999999999993</v>
      </c>
      <c r="CL8" s="261">
        <f>CJ8*CK8</f>
        <v>73800.000000000015</v>
      </c>
      <c r="CM8" s="89">
        <f>'Var Vorgaben'!B77</f>
        <v>0.90000000000000024</v>
      </c>
      <c r="CN8" s="317" t="s">
        <v>63</v>
      </c>
      <c r="CO8" s="62" t="str">
        <f>'Var Vorgaben'!$B$40</f>
        <v xml:space="preserve"> 22+ mm</v>
      </c>
      <c r="CP8" s="603">
        <f>CQ8/$B$5</f>
        <v>10.000000000000002</v>
      </c>
      <c r="CQ8" s="483">
        <f>CT8*CQ10</f>
        <v>9000.0000000000018</v>
      </c>
      <c r="CR8" s="691">
        <f>'Var Vorgaben'!$B$41</f>
        <v>8.1999999999999993</v>
      </c>
      <c r="CS8" s="261">
        <f>CQ8*CR8</f>
        <v>73800.000000000015</v>
      </c>
      <c r="CT8" s="89">
        <f>'Var Vorgaben'!B78</f>
        <v>0.90000000000000024</v>
      </c>
      <c r="CU8" s="317" t="s">
        <v>63</v>
      </c>
      <c r="CV8" s="62" t="str">
        <f>'Var Vorgaben'!$B$40</f>
        <v xml:space="preserve"> 22+ mm</v>
      </c>
      <c r="CW8" s="603">
        <f>CX8/$B$5</f>
        <v>10.000000000000002</v>
      </c>
      <c r="CX8" s="483">
        <f>DA8*CX10</f>
        <v>9000.0000000000018</v>
      </c>
      <c r="CY8" s="691">
        <f>'Var Vorgaben'!$B$41</f>
        <v>8.1999999999999993</v>
      </c>
      <c r="CZ8" s="261">
        <f>CX8*CY8</f>
        <v>73800.000000000015</v>
      </c>
      <c r="DA8" s="89">
        <f>'Var Vorgaben'!B79</f>
        <v>0.90000000000000024</v>
      </c>
      <c r="DB8" s="317" t="s">
        <v>63</v>
      </c>
      <c r="DC8" s="62" t="str">
        <f>'Var Vorgaben'!$B$40</f>
        <v xml:space="preserve"> 22+ mm</v>
      </c>
      <c r="DD8" s="603">
        <f>DE8/$B$5</f>
        <v>10.000000000000002</v>
      </c>
      <c r="DE8" s="483">
        <f>DH8*DE10</f>
        <v>9000.0000000000018</v>
      </c>
      <c r="DF8" s="691">
        <f>'Var Vorgaben'!$B$41</f>
        <v>8.1999999999999993</v>
      </c>
      <c r="DG8" s="261">
        <f>DE8*DF8</f>
        <v>73800.000000000015</v>
      </c>
      <c r="DH8" s="89">
        <f>'Var Vorgaben'!B80</f>
        <v>0.90000000000000024</v>
      </c>
    </row>
    <row r="9" spans="1:112" ht="13.7" customHeight="1" thickBot="1" x14ac:dyDescent="0.25">
      <c r="A9" s="22"/>
      <c r="B9" s="62" t="str">
        <f>'Var Vorgaben'!$C$40</f>
        <v xml:space="preserve"> Abgang</v>
      </c>
      <c r="C9" s="608">
        <f>D9/$B$5</f>
        <v>0</v>
      </c>
      <c r="D9" s="270">
        <f>G9*D10</f>
        <v>0</v>
      </c>
      <c r="E9" s="692">
        <f>'Var Vorgaben'!$C$41</f>
        <v>0</v>
      </c>
      <c r="F9" s="607">
        <f>D9*E9</f>
        <v>0</v>
      </c>
      <c r="G9" s="693">
        <f>'Var Vorgaben'!C65</f>
        <v>9.9999999999999992E-2</v>
      </c>
      <c r="H9" s="317"/>
      <c r="I9" s="62" t="str">
        <f>'Var Vorgaben'!$C$40</f>
        <v xml:space="preserve"> Abgang</v>
      </c>
      <c r="J9" s="608">
        <f>K9/$B$5</f>
        <v>0</v>
      </c>
      <c r="K9" s="270">
        <f>N9*K10</f>
        <v>0</v>
      </c>
      <c r="L9" s="692">
        <f>'Var Vorgaben'!$C$41</f>
        <v>0</v>
      </c>
      <c r="M9" s="607">
        <f>K9*L9</f>
        <v>0</v>
      </c>
      <c r="N9" s="693">
        <f>'Var Vorgaben'!C66</f>
        <v>9.9999999999999992E-2</v>
      </c>
      <c r="O9" s="317"/>
      <c r="P9" s="62" t="str">
        <f>'Var Vorgaben'!$C$40</f>
        <v xml:space="preserve"> Abgang</v>
      </c>
      <c r="Q9" s="608">
        <f>R9/$B$5</f>
        <v>0.12166666666666665</v>
      </c>
      <c r="R9" s="270">
        <f>U9*R10</f>
        <v>109.49999999999999</v>
      </c>
      <c r="S9" s="692">
        <f>'Var Vorgaben'!$C$41</f>
        <v>0</v>
      </c>
      <c r="T9" s="607">
        <f>R9*S9</f>
        <v>0</v>
      </c>
      <c r="U9" s="693">
        <f>'Var Vorgaben'!C67</f>
        <v>9.9999999999999992E-2</v>
      </c>
      <c r="V9" s="317"/>
      <c r="W9" s="62" t="str">
        <f>'Var Vorgaben'!$C$40</f>
        <v xml:space="preserve"> Abgang</v>
      </c>
      <c r="X9" s="608">
        <f>Y9/$B$5</f>
        <v>0.4055555555555555</v>
      </c>
      <c r="Y9" s="270">
        <f>AB9*Y10</f>
        <v>364.99999999999994</v>
      </c>
      <c r="Z9" s="692">
        <f>'Var Vorgaben'!$C$41</f>
        <v>0</v>
      </c>
      <c r="AA9" s="607">
        <f>Y9*Z9</f>
        <v>0</v>
      </c>
      <c r="AB9" s="693">
        <f>'Var Vorgaben'!C68</f>
        <v>9.9999999999999992E-2</v>
      </c>
      <c r="AC9" s="317"/>
      <c r="AD9" s="62" t="str">
        <f>'Var Vorgaben'!$C$40</f>
        <v xml:space="preserve"> Abgang</v>
      </c>
      <c r="AE9" s="608">
        <f>AF9/$B$5</f>
        <v>1.1111111111111109</v>
      </c>
      <c r="AF9" s="270">
        <f>AI9*AF10</f>
        <v>999.99999999999989</v>
      </c>
      <c r="AG9" s="692">
        <f>'Var Vorgaben'!$C$41</f>
        <v>0</v>
      </c>
      <c r="AH9" s="607">
        <f>AF9*AG9</f>
        <v>0</v>
      </c>
      <c r="AI9" s="693">
        <f>'Var Vorgaben'!C69</f>
        <v>9.9999999999999992E-2</v>
      </c>
      <c r="AJ9" s="317"/>
      <c r="AK9" s="62" t="str">
        <f>'Var Vorgaben'!$C$40</f>
        <v xml:space="preserve"> Abgang</v>
      </c>
      <c r="AL9" s="608">
        <f>AM9/$B$5</f>
        <v>1.1111111111111109</v>
      </c>
      <c r="AM9" s="270">
        <f>AP9*AM10</f>
        <v>999.99999999999989</v>
      </c>
      <c r="AN9" s="692">
        <f>'Var Vorgaben'!$C$41</f>
        <v>0</v>
      </c>
      <c r="AO9" s="607">
        <f>AM9*AN9</f>
        <v>0</v>
      </c>
      <c r="AP9" s="693">
        <f>'Var Vorgaben'!C70</f>
        <v>9.9999999999999992E-2</v>
      </c>
      <c r="AQ9" s="317"/>
      <c r="AR9" s="62" t="str">
        <f>'Var Vorgaben'!$C$40</f>
        <v xml:space="preserve"> Abgang</v>
      </c>
      <c r="AS9" s="608">
        <f>AT9/$B$5</f>
        <v>1.1111111111111109</v>
      </c>
      <c r="AT9" s="270">
        <f>AW9*AT10</f>
        <v>999.99999999999989</v>
      </c>
      <c r="AU9" s="692">
        <f>'Var Vorgaben'!$C$41</f>
        <v>0</v>
      </c>
      <c r="AV9" s="607">
        <f>AT9*AU9</f>
        <v>0</v>
      </c>
      <c r="AW9" s="693">
        <f>'Var Vorgaben'!C71</f>
        <v>9.9999999999999992E-2</v>
      </c>
      <c r="AX9" s="317"/>
      <c r="AY9" s="62" t="str">
        <f>'Var Vorgaben'!$C$40</f>
        <v xml:space="preserve"> Abgang</v>
      </c>
      <c r="AZ9" s="608">
        <f>BA9/$B$5</f>
        <v>1.1111111111111109</v>
      </c>
      <c r="BA9" s="270">
        <f>BD9*BA10</f>
        <v>999.99999999999989</v>
      </c>
      <c r="BB9" s="692">
        <f>'Var Vorgaben'!$C$41</f>
        <v>0</v>
      </c>
      <c r="BC9" s="607">
        <f>BA9*BB9</f>
        <v>0</v>
      </c>
      <c r="BD9" s="693">
        <f>'Var Vorgaben'!C72</f>
        <v>9.9999999999999992E-2</v>
      </c>
      <c r="BE9" s="317"/>
      <c r="BF9" s="62" t="str">
        <f>'Var Vorgaben'!$C$40</f>
        <v xml:space="preserve"> Abgang</v>
      </c>
      <c r="BG9" s="608">
        <f>BH9/$B$5</f>
        <v>1.1111111111111109</v>
      </c>
      <c r="BH9" s="270">
        <f>BK9*BH10</f>
        <v>999.99999999999989</v>
      </c>
      <c r="BI9" s="692">
        <f>'Var Vorgaben'!$C$41</f>
        <v>0</v>
      </c>
      <c r="BJ9" s="607">
        <f>BH9*BI9</f>
        <v>0</v>
      </c>
      <c r="BK9" s="693">
        <f>'Var Vorgaben'!C73</f>
        <v>9.9999999999999992E-2</v>
      </c>
      <c r="BL9" s="317"/>
      <c r="BM9" s="62" t="str">
        <f>'Var Vorgaben'!$C$40</f>
        <v xml:space="preserve"> Abgang</v>
      </c>
      <c r="BN9" s="608">
        <f>BO9/$B$5</f>
        <v>1.1111111111111109</v>
      </c>
      <c r="BO9" s="270">
        <f>BR9*BO10</f>
        <v>999.99999999999989</v>
      </c>
      <c r="BP9" s="692">
        <f>'Var Vorgaben'!$C$41</f>
        <v>0</v>
      </c>
      <c r="BQ9" s="607">
        <f>BO9*BP9</f>
        <v>0</v>
      </c>
      <c r="BR9" s="693">
        <f>'Var Vorgaben'!C74</f>
        <v>9.9999999999999992E-2</v>
      </c>
      <c r="BS9" s="317"/>
      <c r="BT9" s="62" t="str">
        <f>'Var Vorgaben'!$C$40</f>
        <v xml:space="preserve"> Abgang</v>
      </c>
      <c r="BU9" s="608">
        <f>BV9/$B$5</f>
        <v>1.1111111111111109</v>
      </c>
      <c r="BV9" s="270">
        <f>BY9*BV10</f>
        <v>999.99999999999989</v>
      </c>
      <c r="BW9" s="692">
        <f>'Var Vorgaben'!$C$41</f>
        <v>0</v>
      </c>
      <c r="BX9" s="607">
        <f>BV9*BW9</f>
        <v>0</v>
      </c>
      <c r="BY9" s="693">
        <f>'Var Vorgaben'!C75</f>
        <v>9.9999999999999992E-2</v>
      </c>
      <c r="BZ9" s="317"/>
      <c r="CA9" s="62" t="str">
        <f>'Var Vorgaben'!$C$40</f>
        <v xml:space="preserve"> Abgang</v>
      </c>
      <c r="CB9" s="608">
        <f>CC9/$B$5</f>
        <v>1.1111111111111109</v>
      </c>
      <c r="CC9" s="270">
        <f>CF9*CC10</f>
        <v>999.99999999999989</v>
      </c>
      <c r="CD9" s="692">
        <f>'Var Vorgaben'!$C$41</f>
        <v>0</v>
      </c>
      <c r="CE9" s="607">
        <f>CC9*CD9</f>
        <v>0</v>
      </c>
      <c r="CF9" s="693">
        <f>'Var Vorgaben'!C76</f>
        <v>9.9999999999999992E-2</v>
      </c>
      <c r="CG9" s="317"/>
      <c r="CH9" s="62" t="str">
        <f>'Var Vorgaben'!$C$40</f>
        <v xml:space="preserve"> Abgang</v>
      </c>
      <c r="CI9" s="608">
        <f>CJ9/$B$5</f>
        <v>1.1111111111111109</v>
      </c>
      <c r="CJ9" s="270">
        <f>CM9*CJ10</f>
        <v>999.99999999999989</v>
      </c>
      <c r="CK9" s="692">
        <f>'Var Vorgaben'!$C$41</f>
        <v>0</v>
      </c>
      <c r="CL9" s="607">
        <f>CJ9*CK9</f>
        <v>0</v>
      </c>
      <c r="CM9" s="693">
        <f>'Var Vorgaben'!C77</f>
        <v>9.9999999999999992E-2</v>
      </c>
      <c r="CN9" s="317"/>
      <c r="CO9" s="62" t="str">
        <f>'Var Vorgaben'!$C$40</f>
        <v xml:space="preserve"> Abgang</v>
      </c>
      <c r="CP9" s="608">
        <f>CQ9/$B$5</f>
        <v>1.1111111111111109</v>
      </c>
      <c r="CQ9" s="270">
        <f>CT9*CQ10</f>
        <v>999.99999999999989</v>
      </c>
      <c r="CR9" s="692">
        <f>'Var Vorgaben'!$C$41</f>
        <v>0</v>
      </c>
      <c r="CS9" s="607">
        <f>CQ9*CR9</f>
        <v>0</v>
      </c>
      <c r="CT9" s="693">
        <f>'Var Vorgaben'!C78</f>
        <v>9.9999999999999992E-2</v>
      </c>
      <c r="CU9" s="317"/>
      <c r="CV9" s="62" t="str">
        <f>'Var Vorgaben'!$C$40</f>
        <v xml:space="preserve"> Abgang</v>
      </c>
      <c r="CW9" s="608">
        <f>CX9/$B$5</f>
        <v>1.1111111111111109</v>
      </c>
      <c r="CX9" s="270">
        <f>DA9*CX10</f>
        <v>999.99999999999989</v>
      </c>
      <c r="CY9" s="692">
        <f>'Var Vorgaben'!$C$41</f>
        <v>0</v>
      </c>
      <c r="CZ9" s="607">
        <f>CX9*CY9</f>
        <v>0</v>
      </c>
      <c r="DA9" s="693">
        <f>'Var Vorgaben'!C79</f>
        <v>9.9999999999999992E-2</v>
      </c>
      <c r="DB9" s="317"/>
      <c r="DC9" s="62" t="str">
        <f>'Var Vorgaben'!$C$40</f>
        <v xml:space="preserve"> Abgang</v>
      </c>
      <c r="DD9" s="608">
        <f>DE9/$B$5</f>
        <v>1.1111111111111109</v>
      </c>
      <c r="DE9" s="270">
        <f>DH9*DE10</f>
        <v>999.99999999999989</v>
      </c>
      <c r="DF9" s="692">
        <f>'Var Vorgaben'!$C$41</f>
        <v>0</v>
      </c>
      <c r="DG9" s="607">
        <f>DE9*DF9</f>
        <v>0</v>
      </c>
      <c r="DH9" s="693">
        <f>'Var Vorgaben'!C80</f>
        <v>9.9999999999999992E-2</v>
      </c>
    </row>
    <row r="10" spans="1:112" x14ac:dyDescent="0.2">
      <c r="A10" s="51"/>
      <c r="B10" s="52"/>
      <c r="C10" s="604">
        <f>SUM(C8:C9)</f>
        <v>0</v>
      </c>
      <c r="D10" s="411">
        <f>'Var Vorgaben'!D41</f>
        <v>0</v>
      </c>
      <c r="E10" s="605">
        <f>(E8*G8)+(E9*G9)</f>
        <v>7.3800000000000017</v>
      </c>
      <c r="F10" s="117">
        <f>SUM(F8:F9)</f>
        <v>0</v>
      </c>
      <c r="G10" s="89">
        <f>SUM(G8:G9)</f>
        <v>1.0000000000000002</v>
      </c>
      <c r="H10" s="1303"/>
      <c r="I10" s="52"/>
      <c r="J10" s="604">
        <f>SUM(J8:J9)</f>
        <v>0</v>
      </c>
      <c r="K10" s="411">
        <f>'Var Vorgaben'!D42</f>
        <v>0</v>
      </c>
      <c r="L10" s="605">
        <f>(L8*N8)+(L9*N9)</f>
        <v>7.3800000000000017</v>
      </c>
      <c r="M10" s="117">
        <f>SUM(M8:M9)</f>
        <v>0</v>
      </c>
      <c r="N10" s="89">
        <f>SUM(N8:N9)</f>
        <v>1.0000000000000002</v>
      </c>
      <c r="O10" s="1303"/>
      <c r="P10" s="52"/>
      <c r="Q10" s="604">
        <f>SUM(Q8:Q9)</f>
        <v>1.2166666666666668</v>
      </c>
      <c r="R10" s="411">
        <f>'Var Vorgaben'!D43</f>
        <v>1095</v>
      </c>
      <c r="S10" s="605">
        <f>(S8*U8)+(S9*U9)</f>
        <v>7.3800000000000017</v>
      </c>
      <c r="T10" s="117">
        <f>SUM(T8:T9)</f>
        <v>8081.1000000000013</v>
      </c>
      <c r="U10" s="89">
        <f>SUM(U8:U9)</f>
        <v>1.0000000000000002</v>
      </c>
      <c r="V10" s="1303"/>
      <c r="W10" s="52"/>
      <c r="X10" s="604">
        <f>SUM(X8:X9)</f>
        <v>4.0555555555555562</v>
      </c>
      <c r="Y10" s="411">
        <f>'Var Vorgaben'!D44</f>
        <v>3650</v>
      </c>
      <c r="Z10" s="605">
        <f>(Z8*AB8)+(Z9*AB9)</f>
        <v>7.3800000000000017</v>
      </c>
      <c r="AA10" s="117">
        <f>SUM(AA8:AA9)</f>
        <v>26937.000000000004</v>
      </c>
      <c r="AB10" s="89">
        <f>SUM(AB8:AB9)</f>
        <v>1.0000000000000002</v>
      </c>
      <c r="AC10" s="1303"/>
      <c r="AD10" s="52"/>
      <c r="AE10" s="604">
        <f>SUM(AE8:AE9)</f>
        <v>11.111111111111112</v>
      </c>
      <c r="AF10" s="411">
        <f>'Var Vorgaben'!D45</f>
        <v>10000</v>
      </c>
      <c r="AG10" s="605">
        <f>(AG8*AI8)+(AG9*AI9)</f>
        <v>7.3800000000000017</v>
      </c>
      <c r="AH10" s="117">
        <f>SUM(AH8:AH9)</f>
        <v>73800.000000000015</v>
      </c>
      <c r="AI10" s="89">
        <f>SUM(AI8:AI9)</f>
        <v>1.0000000000000002</v>
      </c>
      <c r="AJ10" s="1303"/>
      <c r="AK10" s="52"/>
      <c r="AL10" s="604">
        <f>SUM(AL8:AL9)</f>
        <v>11.111111111111112</v>
      </c>
      <c r="AM10" s="411">
        <f>'Var Vorgaben'!D46</f>
        <v>10000</v>
      </c>
      <c r="AN10" s="605">
        <f>(AN8*AP8)+(AN9*AP9)</f>
        <v>7.3800000000000017</v>
      </c>
      <c r="AO10" s="117">
        <f>SUM(AO8:AO9)</f>
        <v>73800.000000000015</v>
      </c>
      <c r="AP10" s="89">
        <f>SUM(AP8:AP9)</f>
        <v>1.0000000000000002</v>
      </c>
      <c r="AQ10" s="1303"/>
      <c r="AR10" s="52"/>
      <c r="AS10" s="604">
        <f>SUM(AS8:AS9)</f>
        <v>11.111111111111112</v>
      </c>
      <c r="AT10" s="411">
        <f>'Var Vorgaben'!D47</f>
        <v>10000</v>
      </c>
      <c r="AU10" s="605">
        <f>(AU8*AW8)+(AU9*AW9)</f>
        <v>7.3800000000000017</v>
      </c>
      <c r="AV10" s="117">
        <f>SUM(AV8:AV9)</f>
        <v>73800.000000000015</v>
      </c>
      <c r="AW10" s="89">
        <f>SUM(AW8:AW9)</f>
        <v>1.0000000000000002</v>
      </c>
      <c r="AX10" s="1303"/>
      <c r="AY10" s="52"/>
      <c r="AZ10" s="604">
        <f>SUM(AZ8:AZ9)</f>
        <v>11.111111111111112</v>
      </c>
      <c r="BA10" s="411">
        <f>'Var Vorgaben'!D48</f>
        <v>10000</v>
      </c>
      <c r="BB10" s="605">
        <f>(BB8*BD8)+(BB9*BD9)</f>
        <v>7.3800000000000017</v>
      </c>
      <c r="BC10" s="117">
        <f>SUM(BC8:BC9)</f>
        <v>73800.000000000015</v>
      </c>
      <c r="BD10" s="89">
        <f>SUM(BD8:BD9)</f>
        <v>1.0000000000000002</v>
      </c>
      <c r="BE10" s="1303"/>
      <c r="BF10" s="52"/>
      <c r="BG10" s="604">
        <f>SUM(BG8:BG9)</f>
        <v>11.111111111111112</v>
      </c>
      <c r="BH10" s="411">
        <f>'Var Vorgaben'!D49</f>
        <v>10000</v>
      </c>
      <c r="BI10" s="605">
        <f>(BI8*BK8)+(BI9*BK9)</f>
        <v>7.3800000000000017</v>
      </c>
      <c r="BJ10" s="117">
        <f>SUM(BJ8:BJ9)</f>
        <v>73800.000000000015</v>
      </c>
      <c r="BK10" s="89">
        <f>SUM(BK8:BK9)</f>
        <v>1.0000000000000002</v>
      </c>
      <c r="BL10" s="1303"/>
      <c r="BM10" s="52"/>
      <c r="BN10" s="604">
        <f>SUM(BN8:BN9)</f>
        <v>11.111111111111112</v>
      </c>
      <c r="BO10" s="411">
        <f>'Var Vorgaben'!D50</f>
        <v>10000</v>
      </c>
      <c r="BP10" s="605">
        <f>(BP8*BR8)+(BP9*BR9)</f>
        <v>7.3800000000000017</v>
      </c>
      <c r="BQ10" s="117">
        <f>SUM(BQ8:BQ9)</f>
        <v>73800.000000000015</v>
      </c>
      <c r="BR10" s="89">
        <f>SUM(BR8:BR9)</f>
        <v>1.0000000000000002</v>
      </c>
      <c r="BS10" s="1303"/>
      <c r="BT10" s="52"/>
      <c r="BU10" s="604">
        <f>SUM(BU8:BU9)</f>
        <v>11.111111111111112</v>
      </c>
      <c r="BV10" s="411">
        <f>'Var Vorgaben'!D51</f>
        <v>10000</v>
      </c>
      <c r="BW10" s="605">
        <f>(BW8*BY8)+(BW9*BY9)</f>
        <v>7.3800000000000017</v>
      </c>
      <c r="BX10" s="117">
        <f>SUM(BX8:BX9)</f>
        <v>73800.000000000015</v>
      </c>
      <c r="BY10" s="89">
        <f>SUM(BY8:BY9)</f>
        <v>1.0000000000000002</v>
      </c>
      <c r="BZ10" s="1303"/>
      <c r="CA10" s="52"/>
      <c r="CB10" s="604">
        <f>SUM(CB8:CB9)</f>
        <v>11.111111111111112</v>
      </c>
      <c r="CC10" s="411">
        <f>'Var Vorgaben'!D52</f>
        <v>10000</v>
      </c>
      <c r="CD10" s="605">
        <f>(CD8*CF8)+(CD9*CF9)</f>
        <v>7.3800000000000017</v>
      </c>
      <c r="CE10" s="117">
        <f>SUM(CE8:CE9)</f>
        <v>73800.000000000015</v>
      </c>
      <c r="CF10" s="89">
        <f>SUM(CF8:CF9)</f>
        <v>1.0000000000000002</v>
      </c>
      <c r="CG10" s="1303"/>
      <c r="CH10" s="52"/>
      <c r="CI10" s="604">
        <f>SUM(CI8:CI9)</f>
        <v>11.111111111111112</v>
      </c>
      <c r="CJ10" s="411">
        <f>'Var Vorgaben'!D53</f>
        <v>10000</v>
      </c>
      <c r="CK10" s="605">
        <f>(CK8*CM8)+(CK9*CM9)</f>
        <v>7.3800000000000017</v>
      </c>
      <c r="CL10" s="117">
        <f>SUM(CL8:CL9)</f>
        <v>73800.000000000015</v>
      </c>
      <c r="CM10" s="89">
        <f>SUM(CM8:CM9)</f>
        <v>1.0000000000000002</v>
      </c>
      <c r="CN10" s="1303"/>
      <c r="CO10" s="52"/>
      <c r="CP10" s="604">
        <f>SUM(CP8:CP9)</f>
        <v>11.111111111111112</v>
      </c>
      <c r="CQ10" s="411">
        <f>'Var Vorgaben'!D54</f>
        <v>10000</v>
      </c>
      <c r="CR10" s="605">
        <f>(CR8*CT8)+(CR9*CT9)</f>
        <v>7.3800000000000017</v>
      </c>
      <c r="CS10" s="117">
        <f>SUM(CS8:CS9)</f>
        <v>73800.000000000015</v>
      </c>
      <c r="CT10" s="89">
        <f>SUM(CT8:CT9)</f>
        <v>1.0000000000000002</v>
      </c>
      <c r="CU10" s="1303"/>
      <c r="CV10" s="52"/>
      <c r="CW10" s="604">
        <f>SUM(CW8:CW9)</f>
        <v>11.111111111111112</v>
      </c>
      <c r="CX10" s="411">
        <f>'Var Vorgaben'!D55</f>
        <v>10000</v>
      </c>
      <c r="CY10" s="605">
        <f>(CY8*DA8)+(CY9*DA9)</f>
        <v>7.3800000000000017</v>
      </c>
      <c r="CZ10" s="117">
        <f>SUM(CZ8:CZ9)</f>
        <v>73800.000000000015</v>
      </c>
      <c r="DA10" s="89">
        <f>SUM(DA8:DA9)</f>
        <v>1.0000000000000002</v>
      </c>
      <c r="DB10" s="1303"/>
      <c r="DC10" s="52"/>
      <c r="DD10" s="604">
        <f>SUM(DD8:DD9)</f>
        <v>11.111111111111112</v>
      </c>
      <c r="DE10" s="411">
        <f>'Var Vorgaben'!D56</f>
        <v>10000</v>
      </c>
      <c r="DF10" s="605">
        <f>(DF8*DH8)+(DF9*DH9)</f>
        <v>7.3800000000000017</v>
      </c>
      <c r="DG10" s="117">
        <f>SUM(DG8:DG9)</f>
        <v>73800.000000000015</v>
      </c>
      <c r="DH10" s="89">
        <f>SUM(DH8:DH9)</f>
        <v>1.0000000000000002</v>
      </c>
    </row>
    <row r="11" spans="1:112" ht="13.5" thickBot="1" x14ac:dyDescent="0.25">
      <c r="A11" s="51"/>
      <c r="B11" s="121" t="s">
        <v>97</v>
      </c>
      <c r="C11" s="604"/>
      <c r="D11" s="411"/>
      <c r="E11" s="605"/>
      <c r="F11" s="607">
        <f>'Var Vorgaben'!$C$34</f>
        <v>2700</v>
      </c>
      <c r="G11" s="89"/>
      <c r="H11" s="1303"/>
      <c r="I11" s="121" t="s">
        <v>97</v>
      </c>
      <c r="J11" s="604"/>
      <c r="K11" s="411"/>
      <c r="L11" s="605"/>
      <c r="M11" s="607">
        <f>'Var Vorgaben'!$C$34</f>
        <v>2700</v>
      </c>
      <c r="N11" s="89"/>
      <c r="O11" s="51"/>
      <c r="P11" s="121" t="s">
        <v>97</v>
      </c>
      <c r="Q11" s="604"/>
      <c r="R11" s="411"/>
      <c r="S11" s="605"/>
      <c r="T11" s="607">
        <f>'Var Vorgaben'!$C$34</f>
        <v>2700</v>
      </c>
      <c r="U11" s="89"/>
      <c r="V11" s="1303"/>
      <c r="W11" s="121" t="s">
        <v>97</v>
      </c>
      <c r="X11" s="604"/>
      <c r="Y11" s="411"/>
      <c r="Z11" s="605"/>
      <c r="AA11" s="607">
        <f>'Var Vorgaben'!$C$34</f>
        <v>2700</v>
      </c>
      <c r="AB11" s="89"/>
      <c r="AC11" s="1303"/>
      <c r="AD11" s="121" t="s">
        <v>97</v>
      </c>
      <c r="AE11" s="604"/>
      <c r="AF11" s="411"/>
      <c r="AG11" s="605"/>
      <c r="AH11" s="607">
        <f>'Var Vorgaben'!$C$34</f>
        <v>2700</v>
      </c>
      <c r="AI11" s="89"/>
      <c r="AJ11" s="1303"/>
      <c r="AK11" s="121" t="s">
        <v>97</v>
      </c>
      <c r="AL11" s="604"/>
      <c r="AM11" s="411"/>
      <c r="AN11" s="605"/>
      <c r="AO11" s="607">
        <f>'Var Vorgaben'!$C$34</f>
        <v>2700</v>
      </c>
      <c r="AP11" s="89"/>
      <c r="AQ11" s="1303"/>
      <c r="AR11" s="121" t="s">
        <v>97</v>
      </c>
      <c r="AS11" s="604"/>
      <c r="AT11" s="411"/>
      <c r="AU11" s="605"/>
      <c r="AV11" s="607">
        <f>'Var Vorgaben'!$C$34</f>
        <v>2700</v>
      </c>
      <c r="AW11" s="89"/>
      <c r="AX11" s="1303"/>
      <c r="AY11" s="121" t="s">
        <v>97</v>
      </c>
      <c r="AZ11" s="604"/>
      <c r="BA11" s="411"/>
      <c r="BB11" s="605"/>
      <c r="BC11" s="607">
        <f>'Var Vorgaben'!$C$34</f>
        <v>2700</v>
      </c>
      <c r="BD11" s="89"/>
      <c r="BE11" s="1303"/>
      <c r="BF11" s="121" t="s">
        <v>97</v>
      </c>
      <c r="BG11" s="604"/>
      <c r="BH11" s="411"/>
      <c r="BI11" s="605"/>
      <c r="BJ11" s="607">
        <f>'Var Vorgaben'!$C$34</f>
        <v>2700</v>
      </c>
      <c r="BK11" s="89"/>
      <c r="BL11" s="1303"/>
      <c r="BM11" s="121" t="s">
        <v>97</v>
      </c>
      <c r="BN11" s="604"/>
      <c r="BO11" s="411"/>
      <c r="BP11" s="605"/>
      <c r="BQ11" s="607">
        <f>'Var Vorgaben'!$C$34</f>
        <v>2700</v>
      </c>
      <c r="BR11" s="89"/>
      <c r="BS11" s="1303"/>
      <c r="BT11" s="121" t="s">
        <v>97</v>
      </c>
      <c r="BU11" s="604"/>
      <c r="BV11" s="411"/>
      <c r="BW11" s="605"/>
      <c r="BX11" s="607">
        <f>'Var Vorgaben'!$C$34</f>
        <v>2700</v>
      </c>
      <c r="BY11" s="89"/>
      <c r="BZ11" s="1303"/>
      <c r="CA11" s="121" t="s">
        <v>97</v>
      </c>
      <c r="CB11" s="604"/>
      <c r="CC11" s="411"/>
      <c r="CD11" s="605"/>
      <c r="CE11" s="607">
        <f>'Var Vorgaben'!$C$34</f>
        <v>2700</v>
      </c>
      <c r="CF11" s="89"/>
      <c r="CG11" s="1303"/>
      <c r="CH11" s="121" t="s">
        <v>97</v>
      </c>
      <c r="CI11" s="604"/>
      <c r="CJ11" s="411"/>
      <c r="CK11" s="605"/>
      <c r="CL11" s="607">
        <f>'Var Vorgaben'!$C$34</f>
        <v>2700</v>
      </c>
      <c r="CM11" s="89"/>
      <c r="CN11" s="1303"/>
      <c r="CO11" s="121" t="s">
        <v>97</v>
      </c>
      <c r="CP11" s="604"/>
      <c r="CQ11" s="411"/>
      <c r="CR11" s="605"/>
      <c r="CS11" s="607">
        <f>'Var Vorgaben'!$C$34</f>
        <v>2700</v>
      </c>
      <c r="CT11" s="89"/>
      <c r="CU11" s="1303"/>
      <c r="CV11" s="121" t="s">
        <v>97</v>
      </c>
      <c r="CW11" s="604"/>
      <c r="CX11" s="411"/>
      <c r="CY11" s="605"/>
      <c r="CZ11" s="607">
        <f>'Var Vorgaben'!$C$34</f>
        <v>2700</v>
      </c>
      <c r="DA11" s="89"/>
      <c r="DB11" s="1303"/>
      <c r="DC11" s="121" t="s">
        <v>97</v>
      </c>
      <c r="DD11" s="604"/>
      <c r="DE11" s="411"/>
      <c r="DF11" s="605"/>
      <c r="DG11" s="607">
        <f>'Var Vorgaben'!$C$34</f>
        <v>2700</v>
      </c>
      <c r="DH11" s="89"/>
    </row>
    <row r="12" spans="1:112" ht="15.75" thickBot="1" x14ac:dyDescent="0.3">
      <c r="A12" s="584" t="s">
        <v>98</v>
      </c>
      <c r="B12" s="585"/>
      <c r="C12" s="585"/>
      <c r="D12" s="585"/>
      <c r="E12" s="585"/>
      <c r="F12" s="586">
        <f>SUM(F10:F11)</f>
        <v>2700</v>
      </c>
      <c r="G12" s="28"/>
      <c r="H12" s="1304" t="s">
        <v>98</v>
      </c>
      <c r="I12" s="585"/>
      <c r="J12" s="585"/>
      <c r="K12" s="585"/>
      <c r="L12" s="585"/>
      <c r="M12" s="586">
        <f>SUM(M10:M11)</f>
        <v>2700</v>
      </c>
      <c r="N12" s="28"/>
      <c r="O12" s="584" t="s">
        <v>98</v>
      </c>
      <c r="P12" s="585"/>
      <c r="Q12" s="585"/>
      <c r="R12" s="585"/>
      <c r="S12" s="585"/>
      <c r="T12" s="586">
        <f>SUM(T10:T11)</f>
        <v>10781.100000000002</v>
      </c>
      <c r="U12" s="28"/>
      <c r="V12" s="584" t="s">
        <v>98</v>
      </c>
      <c r="W12" s="585"/>
      <c r="X12" s="585"/>
      <c r="Y12" s="585"/>
      <c r="Z12" s="585"/>
      <c r="AA12" s="586">
        <f>SUM(AA10:AA11)</f>
        <v>29637.000000000004</v>
      </c>
      <c r="AB12" s="28"/>
      <c r="AC12" s="584" t="s">
        <v>98</v>
      </c>
      <c r="AD12" s="585"/>
      <c r="AE12" s="585"/>
      <c r="AF12" s="585"/>
      <c r="AG12" s="585"/>
      <c r="AH12" s="586">
        <f>SUM(AH10:AH11)</f>
        <v>76500.000000000015</v>
      </c>
      <c r="AI12" s="28"/>
      <c r="AJ12" s="584" t="s">
        <v>98</v>
      </c>
      <c r="AK12" s="585"/>
      <c r="AL12" s="585"/>
      <c r="AM12" s="585"/>
      <c r="AN12" s="585"/>
      <c r="AO12" s="586">
        <f>SUM(AO10:AO11)</f>
        <v>76500.000000000015</v>
      </c>
      <c r="AP12" s="28"/>
      <c r="AQ12" s="584" t="s">
        <v>98</v>
      </c>
      <c r="AR12" s="585"/>
      <c r="AS12" s="585"/>
      <c r="AT12" s="585"/>
      <c r="AU12" s="585"/>
      <c r="AV12" s="586">
        <f>SUM(AV10:AV11)</f>
        <v>76500.000000000015</v>
      </c>
      <c r="AW12" s="28"/>
      <c r="AX12" s="584" t="s">
        <v>98</v>
      </c>
      <c r="AY12" s="585"/>
      <c r="AZ12" s="585"/>
      <c r="BA12" s="585"/>
      <c r="BB12" s="585"/>
      <c r="BC12" s="586">
        <f>SUM(BC10:BC11)</f>
        <v>76500.000000000015</v>
      </c>
      <c r="BD12" s="28"/>
      <c r="BE12" s="584" t="s">
        <v>98</v>
      </c>
      <c r="BF12" s="585"/>
      <c r="BG12" s="585"/>
      <c r="BH12" s="585"/>
      <c r="BI12" s="585"/>
      <c r="BJ12" s="586">
        <f>SUM(BJ10:BJ11)</f>
        <v>76500.000000000015</v>
      </c>
      <c r="BK12" s="28"/>
      <c r="BL12" s="584" t="s">
        <v>98</v>
      </c>
      <c r="BM12" s="585"/>
      <c r="BN12" s="585"/>
      <c r="BO12" s="585"/>
      <c r="BP12" s="585"/>
      <c r="BQ12" s="586">
        <f>SUM(BQ10:BQ11)</f>
        <v>76500.000000000015</v>
      </c>
      <c r="BR12" s="28"/>
      <c r="BS12" s="584" t="s">
        <v>98</v>
      </c>
      <c r="BT12" s="585"/>
      <c r="BU12" s="585"/>
      <c r="BV12" s="585"/>
      <c r="BW12" s="585"/>
      <c r="BX12" s="586">
        <f>SUM(BX10:BX11)</f>
        <v>76500.000000000015</v>
      </c>
      <c r="BY12" s="28"/>
      <c r="BZ12" s="584" t="s">
        <v>98</v>
      </c>
      <c r="CA12" s="585"/>
      <c r="CB12" s="585"/>
      <c r="CC12" s="585"/>
      <c r="CD12" s="585"/>
      <c r="CE12" s="586">
        <f>SUM(CE10:CE11)</f>
        <v>76500.000000000015</v>
      </c>
      <c r="CF12" s="28"/>
      <c r="CG12" s="584" t="s">
        <v>98</v>
      </c>
      <c r="CH12" s="585"/>
      <c r="CI12" s="585"/>
      <c r="CJ12" s="585"/>
      <c r="CK12" s="585"/>
      <c r="CL12" s="586">
        <f>SUM(CL10:CL11)</f>
        <v>76500.000000000015</v>
      </c>
      <c r="CM12" s="28"/>
      <c r="CN12" s="584" t="s">
        <v>98</v>
      </c>
      <c r="CO12" s="585"/>
      <c r="CP12" s="585"/>
      <c r="CQ12" s="585"/>
      <c r="CR12" s="585"/>
      <c r="CS12" s="586">
        <f>SUM(CS10:CS11)</f>
        <v>76500.000000000015</v>
      </c>
      <c r="CT12" s="28"/>
      <c r="CU12" s="584" t="s">
        <v>98</v>
      </c>
      <c r="CV12" s="585"/>
      <c r="CW12" s="585"/>
      <c r="CX12" s="585"/>
      <c r="CY12" s="585"/>
      <c r="CZ12" s="586">
        <f>SUM(CZ10:CZ11)</f>
        <v>76500.000000000015</v>
      </c>
      <c r="DA12" s="28"/>
      <c r="DB12" s="584" t="s">
        <v>98</v>
      </c>
      <c r="DC12" s="585"/>
      <c r="DD12" s="585"/>
      <c r="DE12" s="585"/>
      <c r="DF12" s="585"/>
      <c r="DG12" s="586">
        <f>SUM(DG10:DG11)</f>
        <v>76500.000000000015</v>
      </c>
      <c r="DH12" s="28"/>
    </row>
    <row r="13" spans="1:112" x14ac:dyDescent="0.2">
      <c r="A13" s="4"/>
      <c r="B13" s="4"/>
      <c r="C13" s="34" t="s">
        <v>18</v>
      </c>
      <c r="D13" s="34" t="s">
        <v>59</v>
      </c>
      <c r="E13" s="35" t="s">
        <v>60</v>
      </c>
      <c r="F13" s="41" t="s">
        <v>20</v>
      </c>
      <c r="G13" s="37" t="s">
        <v>62</v>
      </c>
      <c r="H13" s="4"/>
      <c r="I13" s="4"/>
      <c r="J13" s="34" t="s">
        <v>18</v>
      </c>
      <c r="K13" s="34" t="s">
        <v>59</v>
      </c>
      <c r="L13" s="35" t="s">
        <v>60</v>
      </c>
      <c r="M13" s="41" t="s">
        <v>20</v>
      </c>
      <c r="N13" s="37" t="s">
        <v>62</v>
      </c>
      <c r="O13" s="4"/>
      <c r="P13" s="4"/>
      <c r="Q13" s="34" t="s">
        <v>18</v>
      </c>
      <c r="R13" s="34" t="s">
        <v>59</v>
      </c>
      <c r="S13" s="35" t="s">
        <v>60</v>
      </c>
      <c r="T13" s="41" t="s">
        <v>20</v>
      </c>
      <c r="U13" s="37" t="s">
        <v>62</v>
      </c>
      <c r="V13" s="4"/>
      <c r="W13" s="4"/>
      <c r="X13" s="34" t="s">
        <v>18</v>
      </c>
      <c r="Y13" s="34" t="s">
        <v>59</v>
      </c>
      <c r="Z13" s="35" t="s">
        <v>60</v>
      </c>
      <c r="AA13" s="41" t="s">
        <v>20</v>
      </c>
      <c r="AB13" s="37" t="s">
        <v>62</v>
      </c>
      <c r="AC13" s="4"/>
      <c r="AD13" s="4"/>
      <c r="AE13" s="34" t="s">
        <v>18</v>
      </c>
      <c r="AF13" s="34" t="s">
        <v>59</v>
      </c>
      <c r="AG13" s="35" t="s">
        <v>60</v>
      </c>
      <c r="AH13" s="41" t="s">
        <v>20</v>
      </c>
      <c r="AI13" s="37" t="s">
        <v>62</v>
      </c>
      <c r="AJ13" s="4"/>
      <c r="AK13" s="4"/>
      <c r="AL13" s="34" t="s">
        <v>18</v>
      </c>
      <c r="AM13" s="34" t="s">
        <v>59</v>
      </c>
      <c r="AN13" s="35" t="s">
        <v>60</v>
      </c>
      <c r="AO13" s="41" t="s">
        <v>20</v>
      </c>
      <c r="AP13" s="37" t="s">
        <v>62</v>
      </c>
      <c r="AQ13" s="4"/>
      <c r="AR13" s="4"/>
      <c r="AS13" s="34" t="s">
        <v>18</v>
      </c>
      <c r="AT13" s="34" t="s">
        <v>59</v>
      </c>
      <c r="AU13" s="35" t="s">
        <v>60</v>
      </c>
      <c r="AV13" s="41" t="s">
        <v>20</v>
      </c>
      <c r="AW13" s="37" t="s">
        <v>62</v>
      </c>
      <c r="AX13" s="4"/>
      <c r="AY13" s="4"/>
      <c r="AZ13" s="34" t="s">
        <v>18</v>
      </c>
      <c r="BA13" s="34" t="s">
        <v>59</v>
      </c>
      <c r="BB13" s="35" t="s">
        <v>60</v>
      </c>
      <c r="BC13" s="41" t="s">
        <v>20</v>
      </c>
      <c r="BD13" s="37" t="s">
        <v>62</v>
      </c>
      <c r="BE13" s="4"/>
      <c r="BF13" s="4"/>
      <c r="BG13" s="34" t="s">
        <v>18</v>
      </c>
      <c r="BH13" s="34" t="s">
        <v>59</v>
      </c>
      <c r="BI13" s="35" t="s">
        <v>60</v>
      </c>
      <c r="BJ13" s="41" t="s">
        <v>20</v>
      </c>
      <c r="BK13" s="37" t="s">
        <v>62</v>
      </c>
      <c r="BL13" s="4"/>
      <c r="BM13" s="4"/>
      <c r="BN13" s="34" t="s">
        <v>18</v>
      </c>
      <c r="BO13" s="34" t="s">
        <v>59</v>
      </c>
      <c r="BP13" s="35" t="s">
        <v>60</v>
      </c>
      <c r="BQ13" s="41" t="s">
        <v>20</v>
      </c>
      <c r="BR13" s="37" t="s">
        <v>62</v>
      </c>
      <c r="BS13" s="4"/>
      <c r="BT13" s="4"/>
      <c r="BU13" s="34" t="s">
        <v>18</v>
      </c>
      <c r="BV13" s="34" t="s">
        <v>59</v>
      </c>
      <c r="BW13" s="35" t="s">
        <v>60</v>
      </c>
      <c r="BX13" s="41" t="s">
        <v>20</v>
      </c>
      <c r="BY13" s="37" t="s">
        <v>62</v>
      </c>
      <c r="BZ13" s="4"/>
      <c r="CA13" s="4"/>
      <c r="CB13" s="34" t="s">
        <v>18</v>
      </c>
      <c r="CC13" s="34" t="s">
        <v>59</v>
      </c>
      <c r="CD13" s="35" t="s">
        <v>60</v>
      </c>
      <c r="CE13" s="41" t="s">
        <v>20</v>
      </c>
      <c r="CF13" s="37" t="s">
        <v>62</v>
      </c>
      <c r="CG13" s="4"/>
      <c r="CH13" s="4"/>
      <c r="CI13" s="34" t="s">
        <v>18</v>
      </c>
      <c r="CJ13" s="34" t="s">
        <v>59</v>
      </c>
      <c r="CK13" s="35" t="s">
        <v>60</v>
      </c>
      <c r="CL13" s="41" t="s">
        <v>20</v>
      </c>
      <c r="CM13" s="37" t="s">
        <v>62</v>
      </c>
      <c r="CN13" s="4"/>
      <c r="CO13" s="4"/>
      <c r="CP13" s="34" t="s">
        <v>18</v>
      </c>
      <c r="CQ13" s="34" t="s">
        <v>59</v>
      </c>
      <c r="CR13" s="35" t="s">
        <v>60</v>
      </c>
      <c r="CS13" s="41" t="s">
        <v>20</v>
      </c>
      <c r="CT13" s="37" t="s">
        <v>62</v>
      </c>
      <c r="CU13" s="4"/>
      <c r="CV13" s="4"/>
      <c r="CW13" s="34" t="s">
        <v>18</v>
      </c>
      <c r="CX13" s="34" t="s">
        <v>59</v>
      </c>
      <c r="CY13" s="35" t="s">
        <v>60</v>
      </c>
      <c r="CZ13" s="41" t="s">
        <v>20</v>
      </c>
      <c r="DA13" s="37" t="s">
        <v>62</v>
      </c>
      <c r="DB13" s="4"/>
      <c r="DC13" s="4"/>
      <c r="DD13" s="34" t="s">
        <v>18</v>
      </c>
      <c r="DE13" s="34" t="s">
        <v>59</v>
      </c>
      <c r="DF13" s="35" t="s">
        <v>60</v>
      </c>
      <c r="DG13" s="41" t="s">
        <v>20</v>
      </c>
      <c r="DH13" s="37" t="s">
        <v>62</v>
      </c>
    </row>
    <row r="14" spans="1:112" x14ac:dyDescent="0.2">
      <c r="A14" s="3" t="s">
        <v>33</v>
      </c>
      <c r="B14" s="20" t="str">
        <f>'Var Vorgaben'!$B$95</f>
        <v>Biorga N (12 %)</v>
      </c>
      <c r="C14" s="149">
        <f>'Var Vorgaben'!B99</f>
        <v>1</v>
      </c>
      <c r="D14" s="19">
        <f>'Var Vorgaben'!B98</f>
        <v>125</v>
      </c>
      <c r="E14" s="30">
        <f>'Var Vorgaben'!$B$96*(1+Eingabeseite!$C$28)</f>
        <v>1.22</v>
      </c>
      <c r="F14" s="31">
        <f>D14*E14</f>
        <v>152.5</v>
      </c>
      <c r="G14" s="42">
        <f>F14/$F$73</f>
        <v>1.2635106716206736E-2</v>
      </c>
      <c r="H14" s="3" t="s">
        <v>33</v>
      </c>
      <c r="I14" s="20" t="str">
        <f>'Var Vorgaben'!$B$95</f>
        <v>Biorga N (12 %)</v>
      </c>
      <c r="J14" s="149">
        <f>'Var Vorgaben'!B101</f>
        <v>1</v>
      </c>
      <c r="K14" s="19">
        <f>'Var Vorgaben'!B100</f>
        <v>250</v>
      </c>
      <c r="L14" s="30">
        <f>'Var Vorgaben'!$B$96*(1+Eingabeseite!$C$28)</f>
        <v>1.22</v>
      </c>
      <c r="M14" s="31">
        <f>K14*L14</f>
        <v>305</v>
      </c>
      <c r="N14" s="42">
        <f>M14/$M$73</f>
        <v>2.4997189299328492E-2</v>
      </c>
      <c r="O14" s="3" t="s">
        <v>33</v>
      </c>
      <c r="P14" s="20" t="str">
        <f>'Var Vorgaben'!$B$95</f>
        <v>Biorga N (12 %)</v>
      </c>
      <c r="Q14" s="149">
        <f>'Var Vorgaben'!B103</f>
        <v>1</v>
      </c>
      <c r="R14" s="19">
        <f>'Var Vorgaben'!B102</f>
        <v>375</v>
      </c>
      <c r="S14" s="30">
        <f>'Var Vorgaben'!$B$96*(1+Eingabeseite!$C$28)</f>
        <v>1.22</v>
      </c>
      <c r="T14" s="31">
        <f>R14*S14</f>
        <v>457.5</v>
      </c>
      <c r="U14" s="42">
        <f>T14/$T$73</f>
        <v>5.3411362461369344E-3</v>
      </c>
      <c r="V14" s="3" t="s">
        <v>33</v>
      </c>
      <c r="W14" s="20" t="str">
        <f>'Var Vorgaben'!$B$95</f>
        <v>Biorga N (12 %)</v>
      </c>
      <c r="X14" s="149">
        <f>'Var Vorgaben'!B105</f>
        <v>1</v>
      </c>
      <c r="Y14" s="19">
        <f>'Var Vorgaben'!B104</f>
        <v>375</v>
      </c>
      <c r="Z14" s="30">
        <f>'Var Vorgaben'!$B$96*(1+Eingabeseite!$C$28)</f>
        <v>1.22</v>
      </c>
      <c r="AA14" s="31">
        <f>Y14*Z14</f>
        <v>457.5</v>
      </c>
      <c r="AB14" s="42">
        <f>AA14/$AA$73</f>
        <v>1.3605194608968547E-2</v>
      </c>
      <c r="AC14" s="3" t="s">
        <v>33</v>
      </c>
      <c r="AD14" s="20" t="str">
        <f>'Var Vorgaben'!$B$95</f>
        <v>Biorga N (12 %)</v>
      </c>
      <c r="AE14" s="149">
        <f>'Var Vorgaben'!B107</f>
        <v>1</v>
      </c>
      <c r="AF14" s="19">
        <f>'Var Vorgaben'!B106</f>
        <v>500</v>
      </c>
      <c r="AG14" s="30">
        <f>'Var Vorgaben'!$B$96*(1+Eingabeseite!$C$28)</f>
        <v>1.22</v>
      </c>
      <c r="AH14" s="31">
        <f>AF14*AG14</f>
        <v>610</v>
      </c>
      <c r="AI14" s="42">
        <f>AH14/$AH$73</f>
        <v>1.1102566425858891E-2</v>
      </c>
      <c r="AJ14" s="3" t="s">
        <v>33</v>
      </c>
      <c r="AK14" s="20" t="str">
        <f>'Var Vorgaben'!B95</f>
        <v>Biorga N (12 %)</v>
      </c>
      <c r="AL14" s="68">
        <f>'Var Vorgaben'!B107</f>
        <v>1</v>
      </c>
      <c r="AM14" s="12">
        <f>'Var Vorgaben'!B106</f>
        <v>500</v>
      </c>
      <c r="AN14" s="30">
        <f>'Var Vorgaben'!$B$96*(1+Eingabeseite!$C$28)</f>
        <v>1.22</v>
      </c>
      <c r="AO14" s="31">
        <f>AM14*AN14</f>
        <v>610</v>
      </c>
      <c r="AP14" s="42">
        <f>AO14/$AO$73</f>
        <v>1.0849689141454498E-2</v>
      </c>
      <c r="AQ14" s="3" t="s">
        <v>33</v>
      </c>
      <c r="AR14" s="20" t="str">
        <f>'Var Vorgaben'!B95</f>
        <v>Biorga N (12 %)</v>
      </c>
      <c r="AS14" s="68">
        <f>'Var Vorgaben'!B107</f>
        <v>1</v>
      </c>
      <c r="AT14" s="12">
        <f>'Var Vorgaben'!B106</f>
        <v>500</v>
      </c>
      <c r="AU14" s="30">
        <f>'Var Vorgaben'!$B$96*(1+Eingabeseite!$C$28)</f>
        <v>1.22</v>
      </c>
      <c r="AV14" s="31">
        <f>AT14*AU14</f>
        <v>610</v>
      </c>
      <c r="AW14" s="42">
        <f>AV14/$AV$73</f>
        <v>1.117917634504504E-2</v>
      </c>
      <c r="AX14" s="3" t="s">
        <v>33</v>
      </c>
      <c r="AY14" s="20" t="str">
        <f>'Var Vorgaben'!B95</f>
        <v>Biorga N (12 %)</v>
      </c>
      <c r="AZ14" s="68">
        <f>'Var Vorgaben'!B107</f>
        <v>1</v>
      </c>
      <c r="BA14" s="12">
        <f>'Var Vorgaben'!B106</f>
        <v>500</v>
      </c>
      <c r="BB14" s="30">
        <f>'Var Vorgaben'!$B$96*(1+Eingabeseite!$C$28)</f>
        <v>1.22</v>
      </c>
      <c r="BC14" s="31">
        <f>BA14*BB14</f>
        <v>610</v>
      </c>
      <c r="BD14" s="42">
        <f>BC14/$BC$73</f>
        <v>1.1219767309593162E-2</v>
      </c>
      <c r="BE14" s="3" t="s">
        <v>33</v>
      </c>
      <c r="BF14" s="20" t="str">
        <f>'Var Vorgaben'!B95</f>
        <v>Biorga N (12 %)</v>
      </c>
      <c r="BG14" s="68">
        <f>'Var Vorgaben'!B107</f>
        <v>1</v>
      </c>
      <c r="BH14" s="12">
        <f>'Var Vorgaben'!B106</f>
        <v>500</v>
      </c>
      <c r="BI14" s="30">
        <f>'Var Vorgaben'!$B$96*(1+Eingabeseite!$C$28)</f>
        <v>1.22</v>
      </c>
      <c r="BJ14" s="31">
        <f>BH14*BI14</f>
        <v>610</v>
      </c>
      <c r="BK14" s="42">
        <f>BJ14/$BJ$73</f>
        <v>6.0809827147874484E-3</v>
      </c>
      <c r="BL14" s="3" t="s">
        <v>33</v>
      </c>
      <c r="BM14" s="20" t="str">
        <f>'Var Vorgaben'!B95</f>
        <v>Biorga N (12 %)</v>
      </c>
      <c r="BN14" s="68">
        <f>'Var Vorgaben'!B107</f>
        <v>1</v>
      </c>
      <c r="BO14" s="12">
        <f>'Var Vorgaben'!B106</f>
        <v>500</v>
      </c>
      <c r="BP14" s="30">
        <f>'Var Vorgaben'!$B$96*(1+Eingabeseite!$C$28)</f>
        <v>1.22</v>
      </c>
      <c r="BQ14" s="31">
        <f>BO14*BP14</f>
        <v>610</v>
      </c>
      <c r="BR14" s="42">
        <f>BQ14/$BQ$73</f>
        <v>1.0345423773351211E-2</v>
      </c>
      <c r="BS14" s="3" t="s">
        <v>33</v>
      </c>
      <c r="BT14" s="20" t="str">
        <f>'Var Vorgaben'!B95</f>
        <v>Biorga N (12 %)</v>
      </c>
      <c r="BU14" s="68">
        <f>'Var Vorgaben'!B107</f>
        <v>1</v>
      </c>
      <c r="BV14" s="12">
        <f>'Var Vorgaben'!B106</f>
        <v>500</v>
      </c>
      <c r="BW14" s="30">
        <f>'Var Vorgaben'!$B$96*(1+Eingabeseite!$C$28)</f>
        <v>1.22</v>
      </c>
      <c r="BX14" s="31">
        <f>BV14*BW14</f>
        <v>610</v>
      </c>
      <c r="BY14" s="42">
        <f>BX14/$BX$73</f>
        <v>1.1249293426422188E-2</v>
      </c>
      <c r="BZ14" s="3" t="s">
        <v>33</v>
      </c>
      <c r="CA14" s="20" t="str">
        <f>'Var Vorgaben'!B95</f>
        <v>Biorga N (12 %)</v>
      </c>
      <c r="CB14" s="68">
        <f>'Var Vorgaben'!B107</f>
        <v>1</v>
      </c>
      <c r="CC14" s="12">
        <f>'Var Vorgaben'!B106</f>
        <v>500</v>
      </c>
      <c r="CD14" s="30">
        <f>'Var Vorgaben'!$B$96*(1+Eingabeseite!$C$28)</f>
        <v>1.22</v>
      </c>
      <c r="CE14" s="31">
        <f>CC14*CD14</f>
        <v>610</v>
      </c>
      <c r="CF14" s="42">
        <f>CE14/$CE$73</f>
        <v>1.0991043367590214E-2</v>
      </c>
      <c r="CG14" s="3" t="s">
        <v>33</v>
      </c>
      <c r="CH14" s="20" t="str">
        <f>'Var Vorgaben'!B95</f>
        <v>Biorga N (12 %)</v>
      </c>
      <c r="CI14" s="68">
        <f>'Var Vorgaben'!B107</f>
        <v>1</v>
      </c>
      <c r="CJ14" s="12">
        <f>'Var Vorgaben'!B106</f>
        <v>500</v>
      </c>
      <c r="CK14" s="30">
        <f>'Var Vorgaben'!$B$96*(1+Eingabeseite!$C$28)</f>
        <v>1.22</v>
      </c>
      <c r="CL14" s="31">
        <f>CJ14*CK14</f>
        <v>610</v>
      </c>
      <c r="CM14" s="42">
        <f>CL14/$CL$73</f>
        <v>1.1330675197825239E-2</v>
      </c>
      <c r="CN14" s="3" t="s">
        <v>33</v>
      </c>
      <c r="CO14" s="20" t="str">
        <f>'Var Vorgaben'!B95</f>
        <v>Biorga N (12 %)</v>
      </c>
      <c r="CP14" s="68">
        <f>'Var Vorgaben'!B107</f>
        <v>1</v>
      </c>
      <c r="CQ14" s="12">
        <f>'Var Vorgaben'!B106</f>
        <v>500</v>
      </c>
      <c r="CR14" s="30">
        <f>'Var Vorgaben'!$B$96*(1+Eingabeseite!$C$28)</f>
        <v>1.22</v>
      </c>
      <c r="CS14" s="31">
        <f>CQ14*CR14</f>
        <v>610</v>
      </c>
      <c r="CT14" s="42">
        <f>CS14/$CS$73</f>
        <v>1.1373768165587179E-2</v>
      </c>
      <c r="CU14" s="3" t="s">
        <v>33</v>
      </c>
      <c r="CV14" s="20" t="str">
        <f>'Var Vorgaben'!B95</f>
        <v>Biorga N (12 %)</v>
      </c>
      <c r="CW14" s="68">
        <f>'Var Vorgaben'!B107</f>
        <v>1</v>
      </c>
      <c r="CX14" s="12">
        <f>'Var Vorgaben'!B106</f>
        <v>500</v>
      </c>
      <c r="CY14" s="30">
        <f>'Var Vorgaben'!$B$96*(1+Eingabeseite!$C$28)</f>
        <v>1.22</v>
      </c>
      <c r="CZ14" s="31">
        <f>CX14*CY14</f>
        <v>610</v>
      </c>
      <c r="DA14" s="42">
        <f>CZ14/$CZ$73</f>
        <v>1.11109192137662E-2</v>
      </c>
      <c r="DB14" s="3" t="s">
        <v>33</v>
      </c>
      <c r="DC14" s="20" t="str">
        <f>'Var Vorgaben'!B95</f>
        <v>Biorga N (12 %)</v>
      </c>
      <c r="DD14" s="68">
        <f>'Var Vorgaben'!B107</f>
        <v>1</v>
      </c>
      <c r="DE14" s="12">
        <f>'Var Vorgaben'!B106</f>
        <v>500</v>
      </c>
      <c r="DF14" s="30">
        <f>'Var Vorgaben'!$B$96*(1+Eingabeseite!$C$28)</f>
        <v>1.22</v>
      </c>
      <c r="DG14" s="31">
        <f>DE14*DF14</f>
        <v>610</v>
      </c>
      <c r="DH14" s="42">
        <f>DG14/$DG$73</f>
        <v>1.0298490817714813E-2</v>
      </c>
    </row>
    <row r="15" spans="1:112" x14ac:dyDescent="0.2">
      <c r="B15" s="820" t="str">
        <f>'Var Vorgaben'!$C$95</f>
        <v>Mist 
(Frischsubstanz)</v>
      </c>
      <c r="C15" s="488">
        <f>'Var Vorgaben'!C99</f>
        <v>0</v>
      </c>
      <c r="D15" s="147">
        <f>'Var Vorgaben'!C98</f>
        <v>0</v>
      </c>
      <c r="E15" s="148">
        <f>'Var Vorgaben'!$C$96*(1+Eingabeseite!$C$28)</f>
        <v>0.02</v>
      </c>
      <c r="F15" s="38">
        <f>D15*E15</f>
        <v>0</v>
      </c>
      <c r="G15" s="42">
        <f>F15/$F$73</f>
        <v>0</v>
      </c>
      <c r="H15" s="3"/>
      <c r="I15" s="820" t="str">
        <f>'Var Vorgaben'!$C$95</f>
        <v>Mist 
(Frischsubstanz)</v>
      </c>
      <c r="J15" s="488">
        <f>'Var Vorgaben'!C101</f>
        <v>0</v>
      </c>
      <c r="K15" s="147">
        <f>'Var Vorgaben'!C100</f>
        <v>0</v>
      </c>
      <c r="L15" s="148">
        <f>'Var Vorgaben'!$C$96*(1+Eingabeseite!$C$28)</f>
        <v>0.02</v>
      </c>
      <c r="M15" s="38">
        <f>K15*L15</f>
        <v>0</v>
      </c>
      <c r="N15" s="42">
        <f>M15/$M$73</f>
        <v>0</v>
      </c>
      <c r="O15" s="3"/>
      <c r="P15" s="820" t="str">
        <f>'Var Vorgaben'!$C$95</f>
        <v>Mist 
(Frischsubstanz)</v>
      </c>
      <c r="Q15" s="488">
        <f>'Var Vorgaben'!C103</f>
        <v>0</v>
      </c>
      <c r="R15" s="147">
        <f>'Var Vorgaben'!C102</f>
        <v>0</v>
      </c>
      <c r="S15" s="148">
        <f>'Var Vorgaben'!$C$96*(1+Eingabeseite!$C$28)</f>
        <v>0.02</v>
      </c>
      <c r="T15" s="38">
        <f>R15*S15</f>
        <v>0</v>
      </c>
      <c r="U15" s="42">
        <f>T15/$T$73</f>
        <v>0</v>
      </c>
      <c r="V15" s="3"/>
      <c r="W15" s="820" t="str">
        <f>'Var Vorgaben'!$C$95</f>
        <v>Mist 
(Frischsubstanz)</v>
      </c>
      <c r="X15" s="1307">
        <f>'Var Vorgaben'!C105</f>
        <v>9.3333333333333339</v>
      </c>
      <c r="Y15" s="147">
        <f>'Var Vorgaben'!C104</f>
        <v>13333.333333333334</v>
      </c>
      <c r="Z15" s="148">
        <f>'Var Vorgaben'!$C$96*(1+Eingabeseite!$C$28)</f>
        <v>0.02</v>
      </c>
      <c r="AA15" s="38">
        <f>Y15*Z15</f>
        <v>266.66666666666669</v>
      </c>
      <c r="AB15" s="42">
        <f>AA15/$AA$73</f>
        <v>7.930168078087314E-3</v>
      </c>
      <c r="AC15" s="3"/>
      <c r="AD15" s="820" t="str">
        <f>'Var Vorgaben'!$C$95</f>
        <v>Mist 
(Frischsubstanz)</v>
      </c>
      <c r="AE15" s="1307">
        <f>'Var Vorgaben'!$C$107</f>
        <v>14</v>
      </c>
      <c r="AF15" s="147">
        <f>'Var Vorgaben'!C106</f>
        <v>20000</v>
      </c>
      <c r="AG15" s="148">
        <f>'Var Vorgaben'!$C$96*(1+Eingabeseite!$C$28)</f>
        <v>0.02</v>
      </c>
      <c r="AH15" s="38">
        <f>AF15*AG15</f>
        <v>400</v>
      </c>
      <c r="AI15" s="42">
        <f>AH15/$AH$73</f>
        <v>7.2803714267927148E-3</v>
      </c>
      <c r="AJ15" s="3"/>
      <c r="AK15" s="20" t="str">
        <f>'Var Vorgaben'!C95</f>
        <v>Mist 
(Frischsubstanz)</v>
      </c>
      <c r="AL15" s="150">
        <v>0</v>
      </c>
      <c r="AM15" s="12">
        <v>0</v>
      </c>
      <c r="AN15" s="148">
        <f>'Var Vorgaben'!$C$96*(1+Eingabeseite!$C$28)</f>
        <v>0.02</v>
      </c>
      <c r="AO15" s="38">
        <f>AM15*AN15</f>
        <v>0</v>
      </c>
      <c r="AP15" s="42">
        <f>AO15/$AO$73</f>
        <v>0</v>
      </c>
      <c r="AQ15" s="3"/>
      <c r="AR15" s="20" t="str">
        <f>'Var Vorgaben'!C95</f>
        <v>Mist 
(Frischsubstanz)</v>
      </c>
      <c r="AS15" s="1307">
        <f>'Var Vorgaben'!$C$107</f>
        <v>14</v>
      </c>
      <c r="AT15" s="13">
        <f>'Var Vorgaben'!C106</f>
        <v>20000</v>
      </c>
      <c r="AU15" s="148">
        <f>'Var Vorgaben'!$C$96*(1+Eingabeseite!$C$28)</f>
        <v>0.02</v>
      </c>
      <c r="AV15" s="38">
        <f>AT15*AU15</f>
        <v>400</v>
      </c>
      <c r="AW15" s="42">
        <f>AV15/$AV$73</f>
        <v>7.3306074393737972E-3</v>
      </c>
      <c r="AX15" s="3"/>
      <c r="AY15" s="20" t="str">
        <f>'Var Vorgaben'!C95</f>
        <v>Mist 
(Frischsubstanz)</v>
      </c>
      <c r="AZ15" s="1307">
        <f>'Var Vorgaben'!$C$107</f>
        <v>14</v>
      </c>
      <c r="BA15" s="12">
        <f>'Var Vorgaben'!C106</f>
        <v>20000</v>
      </c>
      <c r="BB15" s="148">
        <f>'Var Vorgaben'!$C$96*(1+Eingabeseite!$C$28)</f>
        <v>0.02</v>
      </c>
      <c r="BC15" s="38">
        <f>BA15*BB15</f>
        <v>400</v>
      </c>
      <c r="BD15" s="42">
        <f>BC15/$BC$73</f>
        <v>7.3572244653069907E-3</v>
      </c>
      <c r="BE15" s="3"/>
      <c r="BF15" s="20" t="str">
        <f>'Var Vorgaben'!C95</f>
        <v>Mist 
(Frischsubstanz)</v>
      </c>
      <c r="BG15" s="150">
        <v>0</v>
      </c>
      <c r="BH15" s="12">
        <v>0</v>
      </c>
      <c r="BI15" s="148">
        <f>'Var Vorgaben'!$C$96*(1+Eingabeseite!$C$28)</f>
        <v>0.02</v>
      </c>
      <c r="BJ15" s="38">
        <f>BH15*BI15</f>
        <v>0</v>
      </c>
      <c r="BK15" s="42">
        <f>BJ15/$BJ$73</f>
        <v>0</v>
      </c>
      <c r="BL15" s="3"/>
      <c r="BM15" s="20" t="str">
        <f>'Var Vorgaben'!C95</f>
        <v>Mist 
(Frischsubstanz)</v>
      </c>
      <c r="BN15" s="1307">
        <f>'Var Vorgaben'!$C$107</f>
        <v>14</v>
      </c>
      <c r="BO15" s="12">
        <f>'Var Vorgaben'!C106</f>
        <v>20000</v>
      </c>
      <c r="BP15" s="148">
        <f>'Var Vorgaben'!$C$96*(1+Eingabeseite!$C$28)</f>
        <v>0.02</v>
      </c>
      <c r="BQ15" s="38">
        <f>BO15*BP15</f>
        <v>400</v>
      </c>
      <c r="BR15" s="42">
        <f>BQ15/$BQ$73</f>
        <v>6.7838844415417767E-3</v>
      </c>
      <c r="BS15" s="3"/>
      <c r="BT15" s="20" t="str">
        <f>'Var Vorgaben'!C95</f>
        <v>Mist 
(Frischsubstanz)</v>
      </c>
      <c r="BU15" s="1307">
        <f>'Var Vorgaben'!$C$107</f>
        <v>14</v>
      </c>
      <c r="BV15" s="12">
        <f>'Var Vorgaben'!C106</f>
        <v>20000</v>
      </c>
      <c r="BW15" s="148">
        <f>'Var Vorgaben'!$C$96*(1+Eingabeseite!$C$28)</f>
        <v>0.02</v>
      </c>
      <c r="BX15" s="38">
        <f>BV15*BW15</f>
        <v>400</v>
      </c>
      <c r="BY15" s="42">
        <f>BX15/$BX$73</f>
        <v>7.3765858533915984E-3</v>
      </c>
      <c r="BZ15" s="3"/>
      <c r="CA15" s="20" t="str">
        <f>'Var Vorgaben'!C95</f>
        <v>Mist 
(Frischsubstanz)</v>
      </c>
      <c r="CB15" s="150">
        <v>0</v>
      </c>
      <c r="CC15" s="12">
        <v>0</v>
      </c>
      <c r="CD15" s="148">
        <f>'Var Vorgaben'!$C$96*(1+Eingabeseite!$C$28)</f>
        <v>0.02</v>
      </c>
      <c r="CE15" s="38">
        <f>CC15*CD15</f>
        <v>0</v>
      </c>
      <c r="CF15" s="42">
        <f>CE15/$CE$73</f>
        <v>0</v>
      </c>
      <c r="CG15" s="3"/>
      <c r="CH15" s="20" t="str">
        <f>'Var Vorgaben'!C95</f>
        <v>Mist 
(Frischsubstanz)</v>
      </c>
      <c r="CI15" s="1307">
        <f>'Var Vorgaben'!$C$107</f>
        <v>14</v>
      </c>
      <c r="CJ15" s="12">
        <f>'Var Vorgaben'!C106</f>
        <v>20000</v>
      </c>
      <c r="CK15" s="148">
        <f>'Var Vorgaben'!$C$96*(1+Eingabeseite!$C$28)</f>
        <v>0.02</v>
      </c>
      <c r="CL15" s="38">
        <f>CJ15*CK15</f>
        <v>400</v>
      </c>
      <c r="CM15" s="42">
        <f>CL15/$CL$73</f>
        <v>7.4299509493935996E-3</v>
      </c>
      <c r="CN15" s="3"/>
      <c r="CO15" s="20" t="str">
        <f>'Var Vorgaben'!C95</f>
        <v>Mist 
(Frischsubstanz)</v>
      </c>
      <c r="CP15" s="1307">
        <f>'Var Vorgaben'!$C$107</f>
        <v>14</v>
      </c>
      <c r="CQ15" s="12">
        <f>'Var Vorgaben'!C106</f>
        <v>20000</v>
      </c>
      <c r="CR15" s="148">
        <f>'Var Vorgaben'!$C$96*(1+Eingabeseite!$C$28)</f>
        <v>0.02</v>
      </c>
      <c r="CS15" s="38">
        <f>CQ15*CR15</f>
        <v>400</v>
      </c>
      <c r="CT15" s="42">
        <f>CS15/$CS$73</f>
        <v>7.4582086331719212E-3</v>
      </c>
      <c r="CU15" s="3"/>
      <c r="CV15" s="20" t="str">
        <f>'Var Vorgaben'!C95</f>
        <v>Mist 
(Frischsubstanz)</v>
      </c>
      <c r="CW15" s="150">
        <v>0</v>
      </c>
      <c r="CX15" s="12">
        <v>0</v>
      </c>
      <c r="CY15" s="148">
        <f>'Var Vorgaben'!$C$96*(1+Eingabeseite!$C$28)</f>
        <v>0.02</v>
      </c>
      <c r="CZ15" s="38">
        <f>CX15*CY15</f>
        <v>0</v>
      </c>
      <c r="DA15" s="42">
        <f>CZ15/$CZ$73</f>
        <v>0</v>
      </c>
      <c r="DB15" s="3"/>
      <c r="DC15" s="20" t="str">
        <f>'Var Vorgaben'!C95</f>
        <v>Mist 
(Frischsubstanz)</v>
      </c>
      <c r="DD15" s="1307">
        <f>'Var Vorgaben'!$C$107</f>
        <v>14</v>
      </c>
      <c r="DE15" s="12">
        <f>'Var Vorgaben'!C106</f>
        <v>20000</v>
      </c>
      <c r="DF15" s="148">
        <f>'Var Vorgaben'!$C$96*(1+Eingabeseite!$C$28)</f>
        <v>0.02</v>
      </c>
      <c r="DG15" s="38">
        <f>DE15*DF15</f>
        <v>400</v>
      </c>
      <c r="DH15" s="42">
        <f>DG15/$DG$73</f>
        <v>6.7531087329277461E-3</v>
      </c>
    </row>
    <row r="16" spans="1:112" x14ac:dyDescent="0.2">
      <c r="B16" s="820" t="str">
        <f>'Var Vorgaben'!$D$95</f>
        <v>Kompost (Trockensubstanz)</v>
      </c>
      <c r="C16" s="1253">
        <f>'Var Vorgaben'!D99</f>
        <v>0</v>
      </c>
      <c r="D16" s="147">
        <f>'Var Vorgaben'!D98</f>
        <v>0</v>
      </c>
      <c r="E16" s="148">
        <f>'Var Vorgaben'!$D$96*(1+Eingabeseite!$C$28)</f>
        <v>0.02</v>
      </c>
      <c r="F16" s="39">
        <f>D16*E16</f>
        <v>0</v>
      </c>
      <c r="G16" s="42">
        <f>F16/$F$73</f>
        <v>0</v>
      </c>
      <c r="H16" s="3"/>
      <c r="I16" s="820" t="str">
        <f>'Var Vorgaben'!$D$95</f>
        <v>Kompost (Trockensubstanz)</v>
      </c>
      <c r="J16" s="1253">
        <f>'Var Vorgaben'!D101</f>
        <v>0</v>
      </c>
      <c r="K16" s="147">
        <f>'Var Vorgaben'!D100</f>
        <v>0</v>
      </c>
      <c r="L16" s="148">
        <f>'Var Vorgaben'!$D$96*(1+Eingabeseite!$C$28)</f>
        <v>0.02</v>
      </c>
      <c r="M16" s="39">
        <f>K16*L16</f>
        <v>0</v>
      </c>
      <c r="N16" s="42">
        <f>M16/$M$73</f>
        <v>0</v>
      </c>
      <c r="O16" s="3"/>
      <c r="P16" s="820" t="str">
        <f>'Var Vorgaben'!$D$95</f>
        <v>Kompost (Trockensubstanz)</v>
      </c>
      <c r="Q16" s="1253">
        <f>'Var Vorgaben'!D103</f>
        <v>22</v>
      </c>
      <c r="R16" s="147">
        <f>'Var Vorgaben'!D102</f>
        <v>16666.666666666668</v>
      </c>
      <c r="S16" s="148">
        <f>'Var Vorgaben'!$D$96*(1+Eingabeseite!$C$28)</f>
        <v>0.02</v>
      </c>
      <c r="T16" s="39">
        <f>R16*S16</f>
        <v>333.33333333333337</v>
      </c>
      <c r="U16" s="42">
        <f>T16/$T$73</f>
        <v>3.8915382485515009E-3</v>
      </c>
      <c r="V16" s="3"/>
      <c r="W16" s="820" t="str">
        <f>'Var Vorgaben'!$D$95</f>
        <v>Kompost (Trockensubstanz)</v>
      </c>
      <c r="X16" s="1253">
        <f>'Var Vorgaben'!D105</f>
        <v>0</v>
      </c>
      <c r="Y16" s="147">
        <f>'Var Vorgaben'!D104</f>
        <v>0</v>
      </c>
      <c r="Z16" s="148">
        <f>'Var Vorgaben'!$D$96*(1+Eingabeseite!$C$28)</f>
        <v>0.02</v>
      </c>
      <c r="AA16" s="39">
        <f>Y16*Z16</f>
        <v>0</v>
      </c>
      <c r="AB16" s="42">
        <f>AA16/$AA$73</f>
        <v>0</v>
      </c>
      <c r="AC16" s="3"/>
      <c r="AD16" s="820" t="str">
        <f>'Var Vorgaben'!$D$95</f>
        <v>Kompost (Trockensubstanz)</v>
      </c>
      <c r="AE16" s="1253">
        <v>0</v>
      </c>
      <c r="AF16" s="147">
        <v>0</v>
      </c>
      <c r="AG16" s="148">
        <f>'Var Vorgaben'!$D$96*(1+Eingabeseite!$C$28)</f>
        <v>0.02</v>
      </c>
      <c r="AH16" s="39">
        <f>AF16*AG16</f>
        <v>0</v>
      </c>
      <c r="AI16" s="42">
        <f>AH16/$AH$73</f>
        <v>0</v>
      </c>
      <c r="AJ16" s="3"/>
      <c r="AK16" s="820" t="str">
        <f>'Var Vorgaben'!$D$95</f>
        <v>Kompost (Trockensubstanz)</v>
      </c>
      <c r="AL16" s="1253">
        <f>'Var Vorgaben'!$D$107</f>
        <v>33</v>
      </c>
      <c r="AM16" s="147">
        <f>'Var Vorgaben'!$D$106</f>
        <v>25000</v>
      </c>
      <c r="AN16" s="148">
        <f>'Var Vorgaben'!$D$96*(1+Eingabeseite!$C$28)</f>
        <v>0.02</v>
      </c>
      <c r="AO16" s="39">
        <f>AM16*AN16</f>
        <v>500</v>
      </c>
      <c r="AP16" s="42">
        <f>AO16/$AO$73</f>
        <v>8.8931878208643438E-3</v>
      </c>
      <c r="AQ16" s="3"/>
      <c r="AR16" s="820" t="str">
        <f>'Var Vorgaben'!$D$95</f>
        <v>Kompost (Trockensubstanz)</v>
      </c>
      <c r="AS16" s="1306">
        <v>0</v>
      </c>
      <c r="AT16" s="147">
        <v>0</v>
      </c>
      <c r="AU16" s="148">
        <f>'Var Vorgaben'!$D$96*(1+Eingabeseite!$C$28)</f>
        <v>0.02</v>
      </c>
      <c r="AV16" s="39">
        <f>AT16*AU16</f>
        <v>0</v>
      </c>
      <c r="AW16" s="42">
        <f>AV16/$AV$73</f>
        <v>0</v>
      </c>
      <c r="AX16" s="3"/>
      <c r="AY16" s="820" t="str">
        <f>'Var Vorgaben'!$D$95</f>
        <v>Kompost (Trockensubstanz)</v>
      </c>
      <c r="AZ16" s="1306">
        <v>0</v>
      </c>
      <c r="BA16" s="147">
        <v>0</v>
      </c>
      <c r="BB16" s="148">
        <f>'Var Vorgaben'!$D$96*(1+Eingabeseite!$C$28)</f>
        <v>0.02</v>
      </c>
      <c r="BC16" s="39">
        <f>BA16*BB16</f>
        <v>0</v>
      </c>
      <c r="BD16" s="42">
        <f>BC16/$BC$73</f>
        <v>0</v>
      </c>
      <c r="BE16" s="3"/>
      <c r="BF16" s="820" t="str">
        <f>'Var Vorgaben'!$D$95</f>
        <v>Kompost (Trockensubstanz)</v>
      </c>
      <c r="BG16" s="1253">
        <f>'Var Vorgaben'!$D$107</f>
        <v>33</v>
      </c>
      <c r="BH16" s="147">
        <f>'Var Vorgaben'!$D$106</f>
        <v>25000</v>
      </c>
      <c r="BI16" s="148">
        <f>'Var Vorgaben'!$D$96*(1+Eingabeseite!$C$28)</f>
        <v>0.02</v>
      </c>
      <c r="BJ16" s="39">
        <f>BH16*BI16</f>
        <v>500</v>
      </c>
      <c r="BK16" s="42">
        <f>BJ16/$BJ$73</f>
        <v>4.9844120613011869E-3</v>
      </c>
      <c r="BL16" s="3"/>
      <c r="BM16" s="820" t="str">
        <f>'Var Vorgaben'!$D$95</f>
        <v>Kompost (Trockensubstanz)</v>
      </c>
      <c r="BN16" s="1306">
        <v>0</v>
      </c>
      <c r="BO16" s="147">
        <v>0</v>
      </c>
      <c r="BP16" s="148">
        <f>'Var Vorgaben'!$D$96*(1+Eingabeseite!$C$28)</f>
        <v>0.02</v>
      </c>
      <c r="BQ16" s="39">
        <f>BO16*BP16</f>
        <v>0</v>
      </c>
      <c r="BR16" s="42">
        <f>BQ16/$BQ$73</f>
        <v>0</v>
      </c>
      <c r="BS16" s="3"/>
      <c r="BT16" s="820" t="str">
        <f>'Var Vorgaben'!$D$95</f>
        <v>Kompost (Trockensubstanz)</v>
      </c>
      <c r="BU16" s="1306">
        <v>0</v>
      </c>
      <c r="BV16" s="147">
        <v>0</v>
      </c>
      <c r="BW16" s="148">
        <f>'Var Vorgaben'!$D$96*(1+Eingabeseite!$C$28)</f>
        <v>0.02</v>
      </c>
      <c r="BX16" s="39">
        <f>BV16*BW16</f>
        <v>0</v>
      </c>
      <c r="BY16" s="42">
        <f>BX16/$BX$73</f>
        <v>0</v>
      </c>
      <c r="BZ16" s="3"/>
      <c r="CA16" s="820" t="str">
        <f>'Var Vorgaben'!$D$95</f>
        <v>Kompost (Trockensubstanz)</v>
      </c>
      <c r="CB16" s="1253">
        <f>'Var Vorgaben'!$D$107</f>
        <v>33</v>
      </c>
      <c r="CC16" s="147">
        <f>'Var Vorgaben'!$D$106</f>
        <v>25000</v>
      </c>
      <c r="CD16" s="148">
        <f>'Var Vorgaben'!$D$96*(1+Eingabeseite!$C$28)</f>
        <v>0.02</v>
      </c>
      <c r="CE16" s="39">
        <f>CC16*CD16</f>
        <v>500</v>
      </c>
      <c r="CF16" s="42">
        <f>CE16/$CE$73</f>
        <v>9.0090519406477165E-3</v>
      </c>
      <c r="CG16" s="3"/>
      <c r="CH16" s="820" t="str">
        <f>'Var Vorgaben'!$D$95</f>
        <v>Kompost (Trockensubstanz)</v>
      </c>
      <c r="CI16" s="1306">
        <v>0</v>
      </c>
      <c r="CJ16" s="147">
        <v>0</v>
      </c>
      <c r="CK16" s="148">
        <f>'Var Vorgaben'!$D$96*(1+Eingabeseite!$C$28)</f>
        <v>0.02</v>
      </c>
      <c r="CL16" s="39">
        <f>CJ16*CK16</f>
        <v>0</v>
      </c>
      <c r="CM16" s="42">
        <f>CL16/$CL$73</f>
        <v>0</v>
      </c>
      <c r="CN16" s="3"/>
      <c r="CO16" s="820" t="str">
        <f>'Var Vorgaben'!$D$95</f>
        <v>Kompost (Trockensubstanz)</v>
      </c>
      <c r="CP16" s="1306">
        <v>0</v>
      </c>
      <c r="CQ16" s="147">
        <v>0</v>
      </c>
      <c r="CR16" s="148">
        <f>'Var Vorgaben'!$D$96*(1+Eingabeseite!$C$28)</f>
        <v>0.02</v>
      </c>
      <c r="CS16" s="39">
        <f>CQ16*CR16</f>
        <v>0</v>
      </c>
      <c r="CT16" s="42">
        <f>CS16/$CS$73</f>
        <v>0</v>
      </c>
      <c r="CU16" s="3"/>
      <c r="CV16" s="820" t="str">
        <f>'Var Vorgaben'!$D$95</f>
        <v>Kompost (Trockensubstanz)</v>
      </c>
      <c r="CW16" s="1253">
        <f>'Var Vorgaben'!$D$107</f>
        <v>33</v>
      </c>
      <c r="CX16" s="147">
        <f>'Var Vorgaben'!$D$106</f>
        <v>25000</v>
      </c>
      <c r="CY16" s="148">
        <f>'Var Vorgaben'!$D$96*(1+Eingabeseite!$C$28)</f>
        <v>0.02</v>
      </c>
      <c r="CZ16" s="39">
        <f>CX16*CY16</f>
        <v>500</v>
      </c>
      <c r="DA16" s="42">
        <f>CZ16/$CZ$73</f>
        <v>9.1073108309559017E-3</v>
      </c>
      <c r="DB16" s="3"/>
      <c r="DC16" s="820" t="str">
        <f>'Var Vorgaben'!$D$95</f>
        <v>Kompost (Trockensubstanz)</v>
      </c>
      <c r="DD16" s="1306">
        <v>0</v>
      </c>
      <c r="DE16" s="147">
        <v>0</v>
      </c>
      <c r="DF16" s="148">
        <f>'Var Vorgaben'!$D$96*(1+Eingabeseite!$C$28)</f>
        <v>0.02</v>
      </c>
      <c r="DG16" s="39">
        <f>DE16*DF16</f>
        <v>0</v>
      </c>
      <c r="DH16" s="42">
        <f>DG16/$DG$73</f>
        <v>0</v>
      </c>
    </row>
    <row r="17" spans="1:118" x14ac:dyDescent="0.2">
      <c r="C17" s="12">
        <f>SUM(C14:C16)</f>
        <v>1</v>
      </c>
      <c r="F17" s="33">
        <f>SUM(F14:F16)</f>
        <v>152.5</v>
      </c>
      <c r="G17" s="611">
        <f>F17/$F$73</f>
        <v>1.2635106716206736E-2</v>
      </c>
      <c r="H17" s="3"/>
      <c r="I17" s="20"/>
      <c r="J17" s="12">
        <f>SUM(J14:J16)</f>
        <v>1</v>
      </c>
      <c r="K17" s="12"/>
      <c r="L17" s="30"/>
      <c r="M17" s="33">
        <f>SUM(M14:M16)</f>
        <v>305</v>
      </c>
      <c r="N17" s="611">
        <f>M17/$M$73</f>
        <v>2.4997189299328492E-2</v>
      </c>
      <c r="O17" s="3"/>
      <c r="P17" s="20"/>
      <c r="Q17" s="1254">
        <f>SUM(Q14:Q16)</f>
        <v>23</v>
      </c>
      <c r="R17" s="12"/>
      <c r="S17" s="30"/>
      <c r="T17" s="33">
        <f>SUM(T14:T16)</f>
        <v>790.83333333333337</v>
      </c>
      <c r="U17" s="611">
        <f>T17/$T$73</f>
        <v>9.2326744946884358E-3</v>
      </c>
      <c r="V17" s="3"/>
      <c r="W17" s="20"/>
      <c r="X17" s="1254">
        <f>SUM(X14:X16)</f>
        <v>10.333333333333334</v>
      </c>
      <c r="Y17" s="12"/>
      <c r="Z17" s="30"/>
      <c r="AA17" s="33">
        <f>SUM(AA14:AA16)</f>
        <v>724.16666666666674</v>
      </c>
      <c r="AB17" s="611">
        <f>AA17/$AA$73</f>
        <v>2.1535362687055862E-2</v>
      </c>
      <c r="AC17" s="3"/>
      <c r="AD17" s="20"/>
      <c r="AE17" s="1254">
        <f>SUM(AE14:AE16)</f>
        <v>15</v>
      </c>
      <c r="AF17" s="12"/>
      <c r="AG17" s="30"/>
      <c r="AH17" s="33">
        <f>SUM(AH14:AH16)</f>
        <v>1010</v>
      </c>
      <c r="AI17" s="611">
        <f>AH17/$AH$73</f>
        <v>1.8382937852651604E-2</v>
      </c>
      <c r="AJ17" s="3"/>
      <c r="AK17" s="20"/>
      <c r="AL17" s="1254">
        <f>SUM(AL14:AL16)</f>
        <v>34</v>
      </c>
      <c r="AM17" s="12"/>
      <c r="AN17" s="30"/>
      <c r="AO17" s="33">
        <f>SUM(AO14:AO16)</f>
        <v>1110</v>
      </c>
      <c r="AP17" s="611">
        <f>AO17/$AO$73</f>
        <v>1.9742876962318842E-2</v>
      </c>
      <c r="AQ17" s="3"/>
      <c r="AR17" s="20"/>
      <c r="AS17" s="1254">
        <f>SUM(AS14:AS16)</f>
        <v>15</v>
      </c>
      <c r="AT17" s="12"/>
      <c r="AU17" s="30"/>
      <c r="AV17" s="33">
        <f>SUM(AV14:AV16)</f>
        <v>1010</v>
      </c>
      <c r="AW17" s="611">
        <f>AV17/$AV$73</f>
        <v>1.8509783784418837E-2</v>
      </c>
      <c r="AX17" s="3"/>
      <c r="AY17" s="20"/>
      <c r="AZ17" s="1254">
        <f>SUM(AZ14:AZ16)</f>
        <v>15</v>
      </c>
      <c r="BA17" s="12"/>
      <c r="BB17" s="30"/>
      <c r="BC17" s="33">
        <f>SUM(BC14:BC16)</f>
        <v>1010</v>
      </c>
      <c r="BD17" s="611">
        <f>BC17/$BC$73</f>
        <v>1.8576991774900152E-2</v>
      </c>
      <c r="BE17" s="3"/>
      <c r="BF17" s="20"/>
      <c r="BG17" s="1254">
        <f>SUM(BG14:BG16)</f>
        <v>34</v>
      </c>
      <c r="BH17" s="12"/>
      <c r="BI17" s="30"/>
      <c r="BJ17" s="33">
        <f>SUM(BJ14:BJ16)</f>
        <v>1110</v>
      </c>
      <c r="BK17" s="611">
        <f>BJ17/$BJ$73</f>
        <v>1.1065394776088635E-2</v>
      </c>
      <c r="BL17" s="3"/>
      <c r="BM17" s="20"/>
      <c r="BN17" s="1254">
        <f>SUM(BN14:BN16)</f>
        <v>15</v>
      </c>
      <c r="BO17" s="12"/>
      <c r="BP17" s="30"/>
      <c r="BQ17" s="33">
        <f>SUM(BQ14:BQ16)</f>
        <v>1010</v>
      </c>
      <c r="BR17" s="611">
        <f>BQ17/$BQ$73</f>
        <v>1.7129308214892988E-2</v>
      </c>
      <c r="BS17" s="3"/>
      <c r="BT17" s="20"/>
      <c r="BU17" s="1254">
        <f>SUM(BU14:BU16)</f>
        <v>15</v>
      </c>
      <c r="BV17" s="12"/>
      <c r="BW17" s="30"/>
      <c r="BX17" s="33">
        <f>SUM(BX14:BX16)</f>
        <v>1010</v>
      </c>
      <c r="BY17" s="611">
        <f>BX17/$BX$73</f>
        <v>1.8625879279813785E-2</v>
      </c>
      <c r="BZ17" s="3"/>
      <c r="CA17" s="20"/>
      <c r="CB17" s="1254">
        <f>SUM(CB14:CB16)</f>
        <v>34</v>
      </c>
      <c r="CC17" s="12"/>
      <c r="CD17" s="30"/>
      <c r="CE17" s="33">
        <f>SUM(CE14:CE16)</f>
        <v>1110</v>
      </c>
      <c r="CF17" s="611">
        <f>CE17/$CE$73</f>
        <v>2.0000095308237931E-2</v>
      </c>
      <c r="CG17" s="3"/>
      <c r="CH17" s="20"/>
      <c r="CI17" s="1254">
        <f>SUM(CI14:CI16)</f>
        <v>15</v>
      </c>
      <c r="CJ17" s="12"/>
      <c r="CK17" s="30"/>
      <c r="CL17" s="33">
        <f>SUM(CL14:CL16)</f>
        <v>1010</v>
      </c>
      <c r="CM17" s="611">
        <f>CL17/$CL$73</f>
        <v>1.876062614721884E-2</v>
      </c>
      <c r="CN17" s="3"/>
      <c r="CO17" s="20"/>
      <c r="CP17" s="1254">
        <f>SUM(CP14:CP16)</f>
        <v>15</v>
      </c>
      <c r="CQ17" s="12"/>
      <c r="CR17" s="30"/>
      <c r="CS17" s="33">
        <f>SUM(CS14:CS16)</f>
        <v>1010</v>
      </c>
      <c r="CT17" s="611">
        <f>CS17/$CS$73</f>
        <v>1.8831976798759101E-2</v>
      </c>
      <c r="CU17" s="3"/>
      <c r="CV17" s="20"/>
      <c r="CW17" s="1254">
        <f>SUM(CW14:CW16)</f>
        <v>34</v>
      </c>
      <c r="CX17" s="12"/>
      <c r="CY17" s="30"/>
      <c r="CZ17" s="33">
        <f>SUM(CZ14:CZ16)</f>
        <v>1110</v>
      </c>
      <c r="DA17" s="611">
        <f>CZ17/$CZ$73</f>
        <v>2.0218230044722101E-2</v>
      </c>
      <c r="DB17" s="3"/>
      <c r="DC17" s="20"/>
      <c r="DD17" s="1254">
        <f>SUM(DD14:DD16)</f>
        <v>15</v>
      </c>
      <c r="DE17" s="12"/>
      <c r="DF17" s="30"/>
      <c r="DG17" s="33">
        <f>SUM(DG14:DG16)</f>
        <v>1010</v>
      </c>
      <c r="DH17" s="611">
        <f>DG17/$DG$73</f>
        <v>1.705159955064256E-2</v>
      </c>
    </row>
    <row r="18" spans="1:118" x14ac:dyDescent="0.2">
      <c r="A18" s="20"/>
      <c r="B18"/>
      <c r="E18" s="31"/>
      <c r="G18" s="42"/>
      <c r="I18"/>
      <c r="J18" s="12"/>
      <c r="K18" s="12"/>
      <c r="L18" s="31"/>
      <c r="M18" s="31"/>
      <c r="N18" s="42"/>
      <c r="O18" s="143"/>
      <c r="Q18" s="12"/>
      <c r="R18" s="12"/>
      <c r="S18" s="31"/>
      <c r="T18" s="31"/>
      <c r="U18" s="42"/>
      <c r="V18" s="143"/>
      <c r="X18" s="12"/>
      <c r="Y18" s="12"/>
      <c r="Z18" s="31"/>
      <c r="AA18" s="31"/>
      <c r="AB18" s="42"/>
      <c r="AC18" s="143"/>
      <c r="AE18" s="12"/>
      <c r="AF18" s="12"/>
      <c r="AG18" s="31"/>
      <c r="AH18" s="31"/>
      <c r="AI18" s="42"/>
      <c r="AJ18" s="143"/>
      <c r="AL18" s="12"/>
      <c r="AM18" s="12"/>
      <c r="AN18" s="31"/>
      <c r="AO18" s="31"/>
      <c r="AP18" s="42"/>
      <c r="AQ18" s="143"/>
      <c r="AS18" s="12"/>
      <c r="AT18" s="12"/>
      <c r="AU18" s="31"/>
      <c r="AV18" s="31"/>
      <c r="AW18" s="42"/>
      <c r="AX18" s="143"/>
      <c r="AZ18" s="12"/>
      <c r="BA18" s="12"/>
      <c r="BB18" s="31"/>
      <c r="BC18" s="31"/>
      <c r="BD18" s="42"/>
      <c r="BE18" s="143"/>
      <c r="BG18" s="12"/>
      <c r="BH18" s="12"/>
      <c r="BI18" s="31"/>
      <c r="BJ18" s="31"/>
      <c r="BK18" s="42"/>
      <c r="BL18" s="143"/>
      <c r="BN18" s="12"/>
      <c r="BO18" s="12"/>
      <c r="BP18" s="31"/>
      <c r="BQ18" s="31"/>
      <c r="BR18" s="42"/>
      <c r="BS18" s="143"/>
      <c r="BU18" s="12"/>
      <c r="BV18" s="12"/>
      <c r="BW18" s="31"/>
      <c r="BX18" s="31"/>
      <c r="BY18" s="42"/>
      <c r="BZ18" s="143"/>
      <c r="CB18" s="12"/>
      <c r="CC18" s="12"/>
      <c r="CD18" s="31"/>
      <c r="CE18" s="31"/>
      <c r="CF18" s="42"/>
      <c r="CG18" s="143"/>
      <c r="CI18" s="12"/>
      <c r="CJ18" s="12"/>
      <c r="CK18" s="31"/>
      <c r="CL18" s="31"/>
      <c r="CM18" s="42"/>
      <c r="CN18" s="143"/>
      <c r="CP18" s="12"/>
      <c r="CQ18" s="12"/>
      <c r="CR18" s="31"/>
      <c r="CS18" s="31"/>
      <c r="CT18" s="42"/>
      <c r="CU18" s="143"/>
      <c r="CW18" s="12"/>
      <c r="CX18" s="12"/>
      <c r="CY18" s="31"/>
      <c r="CZ18" s="31"/>
      <c r="DA18" s="42"/>
      <c r="DB18" s="143"/>
      <c r="DD18" s="12"/>
      <c r="DE18" s="12"/>
      <c r="DF18" s="31"/>
      <c r="DG18" s="31"/>
      <c r="DH18" s="42"/>
    </row>
    <row r="19" spans="1:118" x14ac:dyDescent="0.2">
      <c r="A19" s="17" t="str">
        <f>'Var Vorgaben'!$A$126</f>
        <v>Fungzide</v>
      </c>
      <c r="B19" s="12"/>
      <c r="C19"/>
      <c r="D19"/>
      <c r="E19"/>
      <c r="F19" s="31">
        <f>'Var Vorgaben'!$G$114*(1+Eingabeseite!$C$26)</f>
        <v>143.37440000000001</v>
      </c>
      <c r="G19" s="42">
        <f>F19/$F$73</f>
        <v>1.1879021930308925E-2</v>
      </c>
      <c r="H19" s="17" t="str">
        <f>'Var Vorgaben'!$A$126</f>
        <v>Fungzide</v>
      </c>
      <c r="M19" s="31">
        <f>'Var Vorgaben'!$G$114*(1+Eingabeseite!$C$26)</f>
        <v>143.37440000000001</v>
      </c>
      <c r="N19" s="42">
        <f>M19/$M$73</f>
        <v>1.1750678745828337E-2</v>
      </c>
      <c r="O19" s="17" t="str">
        <f>'Var Vorgaben'!$A$126</f>
        <v>Fungzide</v>
      </c>
      <c r="P19" s="12"/>
      <c r="R19"/>
      <c r="T19" s="31">
        <f>'Var Vorgaben'!$G$128*(1+Eingabeseite!$C$26)</f>
        <v>430.1232</v>
      </c>
      <c r="U19" s="42">
        <f>T19/$T$73</f>
        <v>5.0215226531681008E-3</v>
      </c>
      <c r="V19" s="17" t="str">
        <f>'Var Vorgaben'!$A$126</f>
        <v>Fungzide</v>
      </c>
      <c r="W19" s="12"/>
      <c r="AA19" s="31">
        <f>'Var Vorgaben'!$G$128*(1+Eingabeseite!$C$26)</f>
        <v>430.1232</v>
      </c>
      <c r="AB19" s="42">
        <f>AA19/$AA$73</f>
        <v>1.2791059763567869E-2</v>
      </c>
      <c r="AC19" s="17" t="str">
        <f>'Var Vorgaben'!$A$126</f>
        <v>Fungzide</v>
      </c>
      <c r="AD19" s="12"/>
      <c r="AH19" s="31">
        <f>'Var Vorgaben'!$G$140*(1+Eingabeseite!$C$26)</f>
        <v>114.54000000000002</v>
      </c>
      <c r="AI19" s="42">
        <f>AH19/$AH$73</f>
        <v>2.0847343580620943E-3</v>
      </c>
      <c r="AJ19" s="17" t="str">
        <f>'Var Vorgaben'!$A$126</f>
        <v>Fungzide</v>
      </c>
      <c r="AK19" s="12"/>
      <c r="AO19" s="31">
        <f>'Var Vorgaben'!$G$140*(1+Eingabeseite!$C$26)</f>
        <v>114.54000000000002</v>
      </c>
      <c r="AP19" s="42">
        <f>AO19/$AO$73</f>
        <v>2.0372514660036041E-3</v>
      </c>
      <c r="AQ19" s="17" t="str">
        <f>'Var Vorgaben'!$A$126</f>
        <v>Fungzide</v>
      </c>
      <c r="AR19" s="12"/>
      <c r="AV19" s="31">
        <f>'Var Vorgaben'!$G$140*(1+Eingabeseite!$C$26)</f>
        <v>114.54000000000002</v>
      </c>
      <c r="AW19" s="42">
        <f>AV19/$AV$73</f>
        <v>2.0991194402646871E-3</v>
      </c>
      <c r="AX19" s="17" t="str">
        <f>'Var Vorgaben'!$A$126</f>
        <v>Fungzide</v>
      </c>
      <c r="AY19" s="12"/>
      <c r="BC19" s="31">
        <f>'Var Vorgaben'!$G$140*(1+Eingabeseite!$C$26)</f>
        <v>114.54000000000002</v>
      </c>
      <c r="BD19" s="42">
        <f t="shared" ref="BD19:BD22" si="0">BC19/$BC$73</f>
        <v>2.1067412256406573E-3</v>
      </c>
      <c r="BE19" s="17" t="str">
        <f>'Var Vorgaben'!$A$126</f>
        <v>Fungzide</v>
      </c>
      <c r="BF19" s="12"/>
      <c r="BJ19" s="31">
        <f>'Var Vorgaben'!$G$140*(1+Eingabeseite!$C$26)</f>
        <v>114.54000000000002</v>
      </c>
      <c r="BK19" s="42">
        <f t="shared" ref="BK19:BK25" si="1">BJ19/$BJ$73</f>
        <v>1.1418291150028762E-3</v>
      </c>
      <c r="BL19" s="17" t="str">
        <f>'Var Vorgaben'!$A$126</f>
        <v>Fungzide</v>
      </c>
      <c r="BM19" s="12"/>
      <c r="BQ19" s="31">
        <f>'Var Vorgaben'!$G$140*(1+Eingabeseite!$C$26)</f>
        <v>114.54000000000002</v>
      </c>
      <c r="BR19" s="42">
        <f t="shared" ref="BR19:BR35" si="2">BQ19/$BQ$73</f>
        <v>1.9425653098354883E-3</v>
      </c>
      <c r="BS19" s="17" t="str">
        <f>'Var Vorgaben'!$A$126</f>
        <v>Fungzide</v>
      </c>
      <c r="BT19" s="12"/>
      <c r="BX19" s="31">
        <f>'Var Vorgaben'!$G$140*(1+Eingabeseite!$C$26)</f>
        <v>114.54000000000002</v>
      </c>
      <c r="BY19" s="42">
        <f>BX19/$BX$73</f>
        <v>2.1122853591186846E-3</v>
      </c>
      <c r="BZ19" s="17" t="str">
        <f>'Var Vorgaben'!$A$126</f>
        <v>Fungzide</v>
      </c>
      <c r="CA19" s="12"/>
      <c r="CE19" s="31">
        <f>'Var Vorgaben'!$G$140*(1+Eingabeseite!$C$26)</f>
        <v>114.54000000000002</v>
      </c>
      <c r="CF19" s="42">
        <f>CE19/$CE$73</f>
        <v>2.0637936185635792E-3</v>
      </c>
      <c r="CG19" s="17" t="str">
        <f>'Var Vorgaben'!$A$126</f>
        <v>Fungzide</v>
      </c>
      <c r="CH19" s="12"/>
      <c r="CL19" s="31">
        <f>'Var Vorgaben'!$G$140*(1+Eingabeseite!$C$26)</f>
        <v>114.54000000000002</v>
      </c>
      <c r="CM19" s="42">
        <f>CL19/$CL$73</f>
        <v>2.1275664543588574E-3</v>
      </c>
      <c r="CN19" s="17" t="str">
        <f>'Var Vorgaben'!$A$126</f>
        <v>Fungzide</v>
      </c>
      <c r="CO19" s="12"/>
      <c r="CS19" s="31">
        <f>'Var Vorgaben'!$G$140*(1+Eingabeseite!$C$26)</f>
        <v>114.54000000000002</v>
      </c>
      <c r="CT19" s="42">
        <f>CS19/$CS$73</f>
        <v>2.1356580421087799E-3</v>
      </c>
      <c r="CU19" s="17" t="str">
        <f>'Var Vorgaben'!$A$126</f>
        <v>Fungzide</v>
      </c>
      <c r="CV19" s="12"/>
      <c r="CZ19" s="31">
        <f>'Var Vorgaben'!$G$140*(1+Eingabeseite!$C$26)</f>
        <v>114.54000000000002</v>
      </c>
      <c r="DA19" s="42">
        <f>CZ19/$CZ$73</f>
        <v>2.0863027651553782E-3</v>
      </c>
      <c r="DB19" s="17" t="str">
        <f>'Var Vorgaben'!$A$126</f>
        <v>Fungzide</v>
      </c>
      <c r="DC19" s="12"/>
      <c r="DG19" s="31">
        <f>'Var Vorgaben'!$G$140*(1+Eingabeseite!$C$26)</f>
        <v>114.54000000000002</v>
      </c>
      <c r="DH19" s="42">
        <f>DG19/$DG$73</f>
        <v>1.9337526856738605E-3</v>
      </c>
      <c r="DI19" s="20"/>
      <c r="DJ19" s="12"/>
      <c r="DN19" s="31"/>
    </row>
    <row r="20" spans="1:118" x14ac:dyDescent="0.2">
      <c r="A20" s="17" t="str">
        <f>'Var Vorgaben'!$A$129</f>
        <v>Insektizide</v>
      </c>
      <c r="B20" s="12"/>
      <c r="C20"/>
      <c r="D20"/>
      <c r="E20"/>
      <c r="F20" s="31">
        <f>'Var Vorgaben'!$G$118*(1+Eingabeseite!$C$26)</f>
        <v>723.31133333333332</v>
      </c>
      <c r="G20" s="42">
        <f>F20/$F$73</f>
        <v>5.9928628758743926E-2</v>
      </c>
      <c r="H20" s="17" t="str">
        <f>'Var Vorgaben'!$A$129</f>
        <v>Insektizide</v>
      </c>
      <c r="M20" s="31">
        <f>'Var Vorgaben'!$G$118*(1+Eingabeseite!$C$26)</f>
        <v>723.31133333333332</v>
      </c>
      <c r="N20" s="42">
        <f>M20/$M$73</f>
        <v>5.9281148595682044E-2</v>
      </c>
      <c r="O20" s="17" t="str">
        <f>'Var Vorgaben'!$A$129</f>
        <v>Insektizide</v>
      </c>
      <c r="P20" s="12"/>
      <c r="R20"/>
      <c r="T20" s="31">
        <f>'Var Vorgaben'!$G$132*(1+Eingabeseite!$C$26)</f>
        <v>2169.9339999999997</v>
      </c>
      <c r="U20" s="42">
        <f>T20/$T$73</f>
        <v>2.5333143473497053E-2</v>
      </c>
      <c r="V20" s="17" t="str">
        <f>'Var Vorgaben'!$A$129</f>
        <v>Insektizide</v>
      </c>
      <c r="W20" s="12"/>
      <c r="AA20" s="31">
        <f>'Var Vorgaben'!$G$132*(1+Eingabeseite!$C$26)</f>
        <v>2169.9339999999997</v>
      </c>
      <c r="AB20" s="42">
        <f>AA20/$AA$73</f>
        <v>6.4529780018836178E-2</v>
      </c>
      <c r="AC20" s="17" t="str">
        <f>'Var Vorgaben'!$A$129</f>
        <v>Insektizide</v>
      </c>
      <c r="AD20" s="12"/>
      <c r="AH20" s="31">
        <f>'Var Vorgaben'!$G$142*(1+Eingabeseite!$C$26)</f>
        <v>1745.7599999999998</v>
      </c>
      <c r="AI20" s="42">
        <f>AH20/$AH$73</f>
        <v>3.1774453055094118E-2</v>
      </c>
      <c r="AJ20" s="17" t="str">
        <f>'Var Vorgaben'!$A$129</f>
        <v>Insektizide</v>
      </c>
      <c r="AK20" s="12"/>
      <c r="AO20" s="31">
        <f>'Var Vorgaben'!$G$142*(1+Eingabeseite!$C$26)</f>
        <v>1745.7599999999998</v>
      </c>
      <c r="AP20" s="42">
        <f t="shared" ref="AP20:AP21" si="3">AO20/$AO$73</f>
        <v>3.105074314030427E-2</v>
      </c>
      <c r="AQ20" s="17" t="str">
        <f>'Var Vorgaben'!$A$129</f>
        <v>Insektizide</v>
      </c>
      <c r="AR20" s="12"/>
      <c r="AV20" s="31">
        <f>'Var Vorgaben'!$G$142*(1+Eingabeseite!$C$26)</f>
        <v>1745.7599999999998</v>
      </c>
      <c r="AW20" s="42">
        <f t="shared" ref="AW20:AW35" si="4">AV20/$AV$73</f>
        <v>3.1993703108402993E-2</v>
      </c>
      <c r="AX20" s="17" t="str">
        <f>'Var Vorgaben'!$A$129</f>
        <v>Insektizide</v>
      </c>
      <c r="AY20" s="12"/>
      <c r="BC20" s="31">
        <f>'Var Vorgaben'!$G$142*(1+Eingabeseite!$C$26)</f>
        <v>1745.7599999999998</v>
      </c>
      <c r="BD20" s="42">
        <f t="shared" si="0"/>
        <v>3.2109870456385831E-2</v>
      </c>
      <c r="BE20" s="17" t="str">
        <f>'Var Vorgaben'!$A$129</f>
        <v>Insektizide</v>
      </c>
      <c r="BF20" s="12"/>
      <c r="BJ20" s="31">
        <f>'Var Vorgaben'!$G$142*(1+Eingabeseite!$C$26)</f>
        <v>1745.7599999999998</v>
      </c>
      <c r="BK20" s="42">
        <f t="shared" si="1"/>
        <v>1.7403174400274318E-2</v>
      </c>
      <c r="BL20" s="17" t="str">
        <f>'Var Vorgaben'!$A$129</f>
        <v>Insektizide</v>
      </c>
      <c r="BM20" s="12"/>
      <c r="BQ20" s="31">
        <f>'Var Vorgaben'!$G$142*(1+Eingabeseite!$C$26)</f>
        <v>1745.7599999999998</v>
      </c>
      <c r="BR20" s="42">
        <f t="shared" si="2"/>
        <v>2.9607585256664928E-2</v>
      </c>
      <c r="BS20" s="17" t="str">
        <f>'Var Vorgaben'!$A$129</f>
        <v>Insektizide</v>
      </c>
      <c r="BT20" s="12"/>
      <c r="BX20" s="31">
        <f>'Var Vorgaben'!$G$142*(1+Eingabeseite!$C$26)</f>
        <v>1745.7599999999998</v>
      </c>
      <c r="BY20" s="42">
        <f>BX20/$BX$73</f>
        <v>3.2194371298542288E-2</v>
      </c>
      <c r="BZ20" s="17" t="str">
        <f>'Var Vorgaben'!$A$129</f>
        <v>Insektizide</v>
      </c>
      <c r="CA20" s="12"/>
      <c r="CE20" s="31">
        <f>'Var Vorgaben'!$G$142*(1+Eingabeseite!$C$26)</f>
        <v>1745.7599999999998</v>
      </c>
      <c r="CF20" s="42">
        <f>CE20/$CE$73</f>
        <v>3.1455285031810311E-2</v>
      </c>
      <c r="CG20" s="17" t="str">
        <f>'Var Vorgaben'!$A$129</f>
        <v>Insektizide</v>
      </c>
      <c r="CH20" s="12"/>
      <c r="CL20" s="31">
        <f>'Var Vorgaben'!$G$142*(1+Eingabeseite!$C$26)</f>
        <v>1745.7599999999998</v>
      </c>
      <c r="CM20" s="42">
        <f>CL20/$CL$73</f>
        <v>3.2427277923533421E-2</v>
      </c>
      <c r="CN20" s="17" t="str">
        <f>'Var Vorgaben'!$A$129</f>
        <v>Insektizide</v>
      </c>
      <c r="CO20" s="12"/>
      <c r="CS20" s="31">
        <f>'Var Vorgaben'!$G$142*(1+Eingabeseite!$C$26)</f>
        <v>1745.7599999999998</v>
      </c>
      <c r="CT20" s="42">
        <f>CS20/$CS$73</f>
        <v>3.2550605758615528E-2</v>
      </c>
      <c r="CU20" s="17" t="str">
        <f>'Var Vorgaben'!$A$129</f>
        <v>Insektizide</v>
      </c>
      <c r="CV20" s="12"/>
      <c r="CZ20" s="31">
        <f>'Var Vorgaben'!$G$142*(1+Eingabeseite!$C$26)</f>
        <v>1745.7599999999998</v>
      </c>
      <c r="DA20" s="42">
        <f>CZ20/$CZ$73</f>
        <v>3.1798357912499145E-2</v>
      </c>
      <c r="DB20" s="17" t="str">
        <f>'Var Vorgaben'!$A$129</f>
        <v>Insektizide</v>
      </c>
      <c r="DC20" s="12"/>
      <c r="DG20" s="31">
        <f>'Var Vorgaben'!$G$142*(1+Eingabeseite!$C$26)</f>
        <v>1745.7599999999998</v>
      </c>
      <c r="DH20" s="42">
        <f>DG20/$DG$73</f>
        <v>2.9473267753989854E-2</v>
      </c>
      <c r="DI20" s="20"/>
      <c r="DJ20" s="12"/>
      <c r="DN20" s="31"/>
    </row>
    <row r="21" spans="1:118" x14ac:dyDescent="0.2">
      <c r="A21" s="17" t="str">
        <f>'Var Vorgaben'!$A$133</f>
        <v>Blattdüngung</v>
      </c>
      <c r="B21"/>
      <c r="E21" s="31"/>
      <c r="F21" s="39">
        <f>'Var Vorgaben'!$G$119*(1+Eingabeseite!$C$26)</f>
        <v>0</v>
      </c>
      <c r="G21" s="42">
        <f>F21/$F$73</f>
        <v>0</v>
      </c>
      <c r="H21" s="17" t="str">
        <f>'Var Vorgaben'!$A$133</f>
        <v>Blattdüngung</v>
      </c>
      <c r="I21"/>
      <c r="J21" s="12"/>
      <c r="K21" s="12"/>
      <c r="L21" s="31"/>
      <c r="M21" s="39">
        <f>'Var Vorgaben'!$G$119*(1+Eingabeseite!$C$26)</f>
        <v>0</v>
      </c>
      <c r="N21" s="42">
        <f>M21/$M$73</f>
        <v>0</v>
      </c>
      <c r="O21" s="17" t="str">
        <f>'Var Vorgaben'!$A$133</f>
        <v>Blattdüngung</v>
      </c>
      <c r="Q21" s="12"/>
      <c r="R21" s="12"/>
      <c r="S21" s="31"/>
      <c r="T21" s="39">
        <f>'Var Vorgaben'!$G$133*(1+Eingabeseite!$C$26)</f>
        <v>0</v>
      </c>
      <c r="U21" s="42">
        <f>T21/$T$73</f>
        <v>0</v>
      </c>
      <c r="V21" s="17" t="str">
        <f>'Var Vorgaben'!$A$133</f>
        <v>Blattdüngung</v>
      </c>
      <c r="X21" s="12"/>
      <c r="Y21" s="12"/>
      <c r="Z21" s="31"/>
      <c r="AA21" s="39">
        <f>'Var Vorgaben'!$G$133*(1+Eingabeseite!$C$26)</f>
        <v>0</v>
      </c>
      <c r="AB21" s="42">
        <f>AA21/$AA$73</f>
        <v>0</v>
      </c>
      <c r="AC21" s="17" t="str">
        <f>'Var Vorgaben'!$A$133</f>
        <v>Blattdüngung</v>
      </c>
      <c r="AE21" s="12"/>
      <c r="AF21" s="12"/>
      <c r="AG21" s="31"/>
      <c r="AH21" s="39">
        <f>'Var Vorgaben'!$G$143*(1+Eingabeseite!$C$26)</f>
        <v>0</v>
      </c>
      <c r="AI21" s="42">
        <f>AH21/$AH$73</f>
        <v>0</v>
      </c>
      <c r="AJ21" s="17" t="str">
        <f>'Var Vorgaben'!$A$133</f>
        <v>Blattdüngung</v>
      </c>
      <c r="AL21" s="12"/>
      <c r="AM21" s="12"/>
      <c r="AN21" s="31"/>
      <c r="AO21" s="39">
        <f>'Var Vorgaben'!$G$143*(1+Eingabeseite!$C$26)</f>
        <v>0</v>
      </c>
      <c r="AP21" s="42">
        <f t="shared" si="3"/>
        <v>0</v>
      </c>
      <c r="AQ21" s="17" t="str">
        <f>'Var Vorgaben'!$A$133</f>
        <v>Blattdüngung</v>
      </c>
      <c r="AS21" s="12"/>
      <c r="AT21" s="12"/>
      <c r="AU21" s="31"/>
      <c r="AV21" s="39">
        <f>'Var Vorgaben'!$G$143*(1+Eingabeseite!$C$26)</f>
        <v>0</v>
      </c>
      <c r="AW21" s="42">
        <f t="shared" si="4"/>
        <v>0</v>
      </c>
      <c r="AX21" s="17" t="str">
        <f>'Var Vorgaben'!$A$133</f>
        <v>Blattdüngung</v>
      </c>
      <c r="AZ21" s="12"/>
      <c r="BA21" s="12"/>
      <c r="BB21" s="31"/>
      <c r="BC21" s="39">
        <f>'Var Vorgaben'!$G$143*(1+Eingabeseite!$C$26)</f>
        <v>0</v>
      </c>
      <c r="BD21" s="42">
        <f t="shared" si="0"/>
        <v>0</v>
      </c>
      <c r="BE21" s="17" t="str">
        <f>'Var Vorgaben'!$A$133</f>
        <v>Blattdüngung</v>
      </c>
      <c r="BG21" s="12"/>
      <c r="BH21" s="12"/>
      <c r="BI21" s="31"/>
      <c r="BJ21" s="39">
        <f>'Var Vorgaben'!$G$143*(1+Eingabeseite!$C$26)</f>
        <v>0</v>
      </c>
      <c r="BK21" s="42">
        <f t="shared" si="1"/>
        <v>0</v>
      </c>
      <c r="BL21" s="17" t="str">
        <f>'Var Vorgaben'!$A$133</f>
        <v>Blattdüngung</v>
      </c>
      <c r="BN21" s="12"/>
      <c r="BO21" s="12"/>
      <c r="BP21" s="31"/>
      <c r="BQ21" s="39">
        <f>'Var Vorgaben'!$G$143*(1+Eingabeseite!$C$26)</f>
        <v>0</v>
      </c>
      <c r="BR21" s="42">
        <f t="shared" si="2"/>
        <v>0</v>
      </c>
      <c r="BS21" s="17" t="str">
        <f>'Var Vorgaben'!$A$133</f>
        <v>Blattdüngung</v>
      </c>
      <c r="BU21" s="12"/>
      <c r="BV21" s="12"/>
      <c r="BW21" s="31"/>
      <c r="BX21" s="39">
        <f>'Var Vorgaben'!$G$143*(1+Eingabeseite!$C$26)</f>
        <v>0</v>
      </c>
      <c r="BY21" s="42">
        <f>BX21/$BX$73</f>
        <v>0</v>
      </c>
      <c r="BZ21" s="17" t="str">
        <f>'Var Vorgaben'!$A$133</f>
        <v>Blattdüngung</v>
      </c>
      <c r="CB21" s="12"/>
      <c r="CC21" s="12"/>
      <c r="CD21" s="31"/>
      <c r="CE21" s="39">
        <f>'Var Vorgaben'!$G$143*(1+Eingabeseite!$C$26)</f>
        <v>0</v>
      </c>
      <c r="CF21" s="42">
        <f>CE21/$CE$73</f>
        <v>0</v>
      </c>
      <c r="CG21" s="17" t="str">
        <f>'Var Vorgaben'!$A$133</f>
        <v>Blattdüngung</v>
      </c>
      <c r="CI21" s="12"/>
      <c r="CJ21" s="12"/>
      <c r="CK21" s="31"/>
      <c r="CL21" s="39">
        <f>'Var Vorgaben'!$G$143*(1+Eingabeseite!$C$26)</f>
        <v>0</v>
      </c>
      <c r="CM21" s="42">
        <f>CL21/$CL$73</f>
        <v>0</v>
      </c>
      <c r="CN21" s="17" t="str">
        <f>'Var Vorgaben'!$A$133</f>
        <v>Blattdüngung</v>
      </c>
      <c r="CP21" s="12"/>
      <c r="CQ21" s="12"/>
      <c r="CR21" s="31"/>
      <c r="CS21" s="39">
        <f>'Var Vorgaben'!$G$143*(1+Eingabeseite!$C$26)</f>
        <v>0</v>
      </c>
      <c r="CT21" s="42">
        <f>CS21/$CS$73</f>
        <v>0</v>
      </c>
      <c r="CU21" s="17" t="str">
        <f>'Var Vorgaben'!$A$133</f>
        <v>Blattdüngung</v>
      </c>
      <c r="CW21" s="12"/>
      <c r="CX21" s="12"/>
      <c r="CY21" s="31"/>
      <c r="CZ21" s="39">
        <f>'Var Vorgaben'!$G$143*(1+Eingabeseite!$C$26)</f>
        <v>0</v>
      </c>
      <c r="DA21" s="42">
        <f>CZ21/$CZ$73</f>
        <v>0</v>
      </c>
      <c r="DB21" s="17" t="str">
        <f>'Var Vorgaben'!$A$133</f>
        <v>Blattdüngung</v>
      </c>
      <c r="DD21" s="12"/>
      <c r="DE21" s="12"/>
      <c r="DF21" s="31"/>
      <c r="DG21" s="39">
        <f>'Var Vorgaben'!$G$143*(1+Eingabeseite!$C$26)</f>
        <v>0</v>
      </c>
      <c r="DH21" s="42">
        <f>DG21/$DG$73</f>
        <v>0</v>
      </c>
      <c r="DI21" s="20"/>
      <c r="DK21" s="12"/>
      <c r="DL21" s="12"/>
      <c r="DM21" s="31"/>
      <c r="DN21" s="31"/>
    </row>
    <row r="22" spans="1:118" x14ac:dyDescent="0.2">
      <c r="A22" s="20"/>
      <c r="B22" s="12"/>
      <c r="C22"/>
      <c r="D22"/>
      <c r="E22"/>
      <c r="F22" s="33">
        <f>SUM(F19:F21)</f>
        <v>866.68573333333336</v>
      </c>
      <c r="G22" s="611">
        <f>F22/$F$73</f>
        <v>7.1807650689052857E-2</v>
      </c>
      <c r="H22" s="20"/>
      <c r="M22" s="33">
        <f>SUM(M19:M21)</f>
        <v>866.68573333333336</v>
      </c>
      <c r="N22" s="611">
        <f>M22/$M$73</f>
        <v>7.1031827341510381E-2</v>
      </c>
      <c r="O22" s="20"/>
      <c r="P22" s="12"/>
      <c r="R22"/>
      <c r="T22" s="33">
        <f>SUM(T19:T21)</f>
        <v>2600.0571999999997</v>
      </c>
      <c r="U22" s="1225">
        <f>T22/$T$73</f>
        <v>3.0354666126665153E-2</v>
      </c>
      <c r="V22" s="20"/>
      <c r="W22" s="12"/>
      <c r="AA22" s="33">
        <f>SUM(AA19:AA21)</f>
        <v>2600.0571999999997</v>
      </c>
      <c r="AB22" s="611">
        <f>AA22/$AA$73</f>
        <v>7.7320839782404047E-2</v>
      </c>
      <c r="AC22" s="20"/>
      <c r="AD22" s="12"/>
      <c r="AH22" s="33">
        <f>SUM(AH19:AH21)</f>
        <v>1860.2999999999997</v>
      </c>
      <c r="AI22" s="611">
        <f>AH22/$AH$73</f>
        <v>3.3859187413156216E-2</v>
      </c>
      <c r="AJ22" s="20"/>
      <c r="AK22" s="12"/>
      <c r="AO22" s="33">
        <f>SUM(AO19:AO21)</f>
        <v>1860.2999999999997</v>
      </c>
      <c r="AP22" s="1225">
        <f>AO22/$AO$73</f>
        <v>3.3087994606307874E-2</v>
      </c>
      <c r="AQ22" s="20"/>
      <c r="AR22" s="12"/>
      <c r="AV22" s="33">
        <f>SUM(AV19:AV21)</f>
        <v>1860.2999999999997</v>
      </c>
      <c r="AW22" s="1225">
        <f t="shared" si="4"/>
        <v>3.4092822548667683E-2</v>
      </c>
      <c r="AX22" s="20"/>
      <c r="AY22" s="12"/>
      <c r="BC22" s="33">
        <f>SUM(BC19:BC21)</f>
        <v>1860.2999999999997</v>
      </c>
      <c r="BD22" s="1225">
        <f t="shared" si="0"/>
        <v>3.4216611682026485E-2</v>
      </c>
      <c r="BE22" s="20"/>
      <c r="BF22" s="12"/>
      <c r="BJ22" s="33">
        <f>SUM(BJ19:BJ21)</f>
        <v>1860.2999999999997</v>
      </c>
      <c r="BK22" s="1225">
        <f t="shared" si="1"/>
        <v>1.8545003515277193E-2</v>
      </c>
      <c r="BL22" s="20"/>
      <c r="BM22" s="12"/>
      <c r="BQ22" s="33">
        <f>SUM(BQ19:BQ21)</f>
        <v>1860.2999999999997</v>
      </c>
      <c r="BR22" s="1225">
        <f t="shared" si="2"/>
        <v>3.1550150566500415E-2</v>
      </c>
      <c r="BS22" s="20"/>
      <c r="BT22" s="12"/>
      <c r="BX22" s="33">
        <f>SUM(BX19:BX21)</f>
        <v>1860.2999999999997</v>
      </c>
      <c r="BY22" s="611">
        <f>BX22/$BX$73</f>
        <v>3.4306656657660972E-2</v>
      </c>
      <c r="BZ22" s="20"/>
      <c r="CA22" s="12"/>
      <c r="CE22" s="33">
        <f>SUM(CE19:CE21)</f>
        <v>1860.2999999999997</v>
      </c>
      <c r="CF22" s="611">
        <f>CE22/$CE$73</f>
        <v>3.3519078650373887E-2</v>
      </c>
      <c r="CG22" s="20"/>
      <c r="CH22" s="12"/>
      <c r="CL22" s="33">
        <f>SUM(CL19:CL21)</f>
        <v>1860.2999999999997</v>
      </c>
      <c r="CM22" s="611">
        <f>CL22/$CL$73</f>
        <v>3.4554844377892281E-2</v>
      </c>
      <c r="CN22" s="20"/>
      <c r="CO22" s="12"/>
      <c r="CS22" s="33">
        <f>SUM(CS19:CS21)</f>
        <v>1860.2999999999997</v>
      </c>
      <c r="CT22" s="611">
        <f>CS22/$CS$73</f>
        <v>3.4686263800724308E-2</v>
      </c>
      <c r="CU22" s="20"/>
      <c r="CV22" s="12"/>
      <c r="CZ22" s="33">
        <f>SUM(CZ19:CZ21)</f>
        <v>1860.2999999999997</v>
      </c>
      <c r="DA22" s="611">
        <f>CZ22/$CZ$73</f>
        <v>3.3884660677654527E-2</v>
      </c>
      <c r="DB22" s="20"/>
      <c r="DC22" s="12"/>
      <c r="DG22" s="33">
        <f>SUM(DG19:DG21)</f>
        <v>1860.2999999999997</v>
      </c>
      <c r="DH22" s="611">
        <f>DG22/$DG$73</f>
        <v>3.1407020439663716E-2</v>
      </c>
      <c r="DI22" s="20"/>
      <c r="DJ22" s="12"/>
      <c r="DN22" s="31"/>
    </row>
    <row r="23" spans="1:118" ht="3.75" customHeight="1" x14ac:dyDescent="0.2">
      <c r="A23" s="12"/>
      <c r="B23"/>
      <c r="E23" s="31"/>
      <c r="G23" s="42"/>
      <c r="I23"/>
      <c r="J23" s="12"/>
      <c r="K23" s="12"/>
      <c r="L23" s="31"/>
      <c r="M23" s="31"/>
      <c r="N23" s="42"/>
      <c r="O23" s="12"/>
      <c r="Q23" s="12"/>
      <c r="R23" s="12"/>
      <c r="S23" s="31"/>
      <c r="T23" s="31"/>
      <c r="U23" s="1120"/>
      <c r="V23" s="12"/>
      <c r="X23" s="12"/>
      <c r="Y23" s="12"/>
      <c r="Z23" s="31"/>
      <c r="AA23" s="31"/>
      <c r="AB23" s="42"/>
      <c r="AC23" s="12"/>
      <c r="AE23" s="12"/>
      <c r="AF23" s="12"/>
      <c r="AG23" s="31"/>
      <c r="AH23" s="31"/>
      <c r="AI23" s="42"/>
      <c r="AJ23" s="12"/>
      <c r="AL23" s="12"/>
      <c r="AM23" s="12"/>
      <c r="AN23" s="31"/>
      <c r="AO23" s="31"/>
      <c r="AP23" s="42"/>
      <c r="AQ23" s="12"/>
      <c r="AS23" s="12"/>
      <c r="AT23" s="12"/>
      <c r="AU23" s="31"/>
      <c r="AV23" s="31"/>
      <c r="AW23" s="42"/>
      <c r="AX23" s="12"/>
      <c r="AZ23" s="12"/>
      <c r="BA23" s="12"/>
      <c r="BB23" s="31"/>
      <c r="BC23" s="31"/>
      <c r="BD23" s="42"/>
      <c r="BE23" s="12"/>
      <c r="BG23" s="12"/>
      <c r="BH23" s="12"/>
      <c r="BI23" s="31"/>
      <c r="BJ23" s="31"/>
      <c r="BK23" s="42"/>
      <c r="BL23" s="12"/>
      <c r="BN23" s="12"/>
      <c r="BO23" s="12"/>
      <c r="BP23" s="31"/>
      <c r="BQ23" s="31"/>
      <c r="BR23" s="42"/>
      <c r="BS23" s="12"/>
      <c r="BU23" s="12"/>
      <c r="BV23" s="12"/>
      <c r="BW23" s="31"/>
      <c r="BX23" s="31"/>
      <c r="BY23" s="42"/>
      <c r="BZ23" s="12"/>
      <c r="CB23" s="12"/>
      <c r="CC23" s="12"/>
      <c r="CD23" s="31"/>
      <c r="CE23" s="31"/>
      <c r="CF23" s="42"/>
      <c r="CG23" s="12"/>
      <c r="CI23" s="12"/>
      <c r="CJ23" s="12"/>
      <c r="CK23" s="31"/>
      <c r="CL23" s="31"/>
      <c r="CM23" s="42"/>
      <c r="CN23" s="12"/>
      <c r="CP23" s="12"/>
      <c r="CQ23" s="12"/>
      <c r="CR23" s="31"/>
      <c r="CS23" s="31"/>
      <c r="CT23" s="42"/>
      <c r="CU23" s="12"/>
      <c r="CW23" s="12"/>
      <c r="CX23" s="12"/>
      <c r="CY23" s="31"/>
      <c r="CZ23" s="31"/>
      <c r="DA23" s="42"/>
      <c r="DB23" s="12"/>
      <c r="DD23" s="12"/>
      <c r="DE23" s="12"/>
      <c r="DF23" s="31"/>
      <c r="DG23" s="31"/>
      <c r="DH23" s="42"/>
      <c r="DI23" s="12"/>
      <c r="DK23" s="12"/>
      <c r="DL23" s="12"/>
      <c r="DM23" s="31"/>
      <c r="DN23" s="31"/>
    </row>
    <row r="24" spans="1:118" ht="18.75" customHeight="1" x14ac:dyDescent="0.2">
      <c r="B24" s="4"/>
      <c r="C24" s="45"/>
      <c r="D24" s="45"/>
      <c r="E24" s="61"/>
      <c r="G24" s="42"/>
      <c r="I24" s="45"/>
      <c r="J24" s="1"/>
      <c r="K24" s="1"/>
      <c r="L24" s="1"/>
      <c r="M24" s="1"/>
      <c r="N24" s="42"/>
      <c r="O24" s="91" t="s">
        <v>487</v>
      </c>
      <c r="P24" s="1"/>
      <c r="Q24" s="1"/>
      <c r="R24" s="46"/>
      <c r="S24" s="1"/>
      <c r="T24" s="1355">
        <f>'Var Erstellung'!$F$106</f>
        <v>41770.812899999997</v>
      </c>
      <c r="U24" s="1225">
        <f t="shared" ref="U24:U34" si="5">T24/$T$73</f>
        <v>0.48765814822031528</v>
      </c>
      <c r="AB24" s="42"/>
      <c r="AI24" s="42"/>
      <c r="AP24" s="42"/>
      <c r="AW24" s="42">
        <f t="shared" si="4"/>
        <v>0</v>
      </c>
      <c r="AX24" s="169"/>
      <c r="AY24" s="1"/>
      <c r="AZ24" s="1"/>
      <c r="BA24" s="46"/>
      <c r="BB24" s="1"/>
      <c r="BC24" s="1355"/>
      <c r="BD24" s="611"/>
      <c r="BE24" s="91" t="s">
        <v>487</v>
      </c>
      <c r="BF24" s="1"/>
      <c r="BG24" s="1"/>
      <c r="BH24" s="46"/>
      <c r="BI24" s="1"/>
      <c r="BJ24" s="1355">
        <f>'Var Erstellung'!$F$106</f>
        <v>41770.812899999997</v>
      </c>
      <c r="BK24" s="1225">
        <f t="shared" si="1"/>
        <v>0.41640588725823041</v>
      </c>
      <c r="BL24" s="169"/>
      <c r="BM24" s="1"/>
      <c r="BN24" s="1"/>
      <c r="BO24" s="46"/>
      <c r="BP24" s="1"/>
      <c r="BQ24" s="714"/>
      <c r="BR24" s="42">
        <f t="shared" si="2"/>
        <v>0</v>
      </c>
      <c r="BY24" s="42"/>
      <c r="CF24" s="42"/>
      <c r="CG24" s="169"/>
      <c r="CH24" s="1"/>
      <c r="CI24" s="1"/>
      <c r="CJ24" s="46"/>
      <c r="CK24" s="1"/>
      <c r="CL24" s="1355"/>
      <c r="CM24" s="611">
        <f>CL24/$CL$73</f>
        <v>0</v>
      </c>
      <c r="CT24" s="42"/>
      <c r="DA24" s="42"/>
      <c r="DH24" s="42"/>
    </row>
    <row r="25" spans="1:118" ht="18" customHeight="1" x14ac:dyDescent="0.2">
      <c r="A25" s="104" t="s">
        <v>170</v>
      </c>
      <c r="B25" s="109"/>
      <c r="C25" s="105"/>
      <c r="D25" s="109"/>
      <c r="E25" s="238"/>
      <c r="F25" s="79">
        <f>'Var Vorgaben'!E187</f>
        <v>0</v>
      </c>
      <c r="G25" s="611">
        <f>F25/$F$73</f>
        <v>0</v>
      </c>
      <c r="H25" s="104" t="s">
        <v>170</v>
      </c>
      <c r="I25" s="109"/>
      <c r="J25" s="105"/>
      <c r="K25" s="109"/>
      <c r="L25" s="238"/>
      <c r="M25" s="79">
        <f>'Var Vorgaben'!E188</f>
        <v>0</v>
      </c>
      <c r="N25" s="611">
        <f>M25/$M$73</f>
        <v>0</v>
      </c>
      <c r="O25" s="104" t="s">
        <v>170</v>
      </c>
      <c r="P25" s="109"/>
      <c r="Q25" s="105"/>
      <c r="R25" s="109"/>
      <c r="S25" s="238"/>
      <c r="T25" s="79">
        <f>'Var Vorgaben'!$E$186</f>
        <v>400</v>
      </c>
      <c r="U25" s="1120">
        <f t="shared" si="5"/>
        <v>4.6698458982618006E-3</v>
      </c>
      <c r="V25" s="104" t="s">
        <v>170</v>
      </c>
      <c r="W25" s="109"/>
      <c r="X25" s="105"/>
      <c r="Y25" s="109"/>
      <c r="Z25" s="238"/>
      <c r="AA25" s="79">
        <f>'Var Vorgaben'!$E$186</f>
        <v>400</v>
      </c>
      <c r="AB25" s="1120">
        <f>AA25/$AA$73</f>
        <v>1.189525211713097E-2</v>
      </c>
      <c r="AC25" s="104" t="s">
        <v>170</v>
      </c>
      <c r="AD25" s="109"/>
      <c r="AE25" s="105"/>
      <c r="AF25" s="109"/>
      <c r="AG25" s="238"/>
      <c r="AH25" s="79">
        <f>'Var Vorgaben'!$E$186</f>
        <v>400</v>
      </c>
      <c r="AI25" s="1120">
        <f>AH25/$AH$73</f>
        <v>7.2803714267927148E-3</v>
      </c>
      <c r="AJ25" s="104" t="s">
        <v>170</v>
      </c>
      <c r="AK25" s="109"/>
      <c r="AL25" s="105"/>
      <c r="AM25" s="109"/>
      <c r="AN25" s="238"/>
      <c r="AO25" s="79">
        <f>'Var Vorgaben'!$E$186</f>
        <v>400</v>
      </c>
      <c r="AP25" s="611">
        <f>AO25/$AO$73</f>
        <v>7.1145502566914752E-3</v>
      </c>
      <c r="AQ25" s="104" t="s">
        <v>170</v>
      </c>
      <c r="AR25" s="109"/>
      <c r="AS25" s="105"/>
      <c r="AT25" s="109"/>
      <c r="AU25" s="238"/>
      <c r="AV25" s="79">
        <f>'Var Vorgaben'!$E$186</f>
        <v>400</v>
      </c>
      <c r="AW25" s="1225">
        <f t="shared" si="4"/>
        <v>7.3306074393737972E-3</v>
      </c>
      <c r="AX25" s="104" t="s">
        <v>170</v>
      </c>
      <c r="AY25" s="109"/>
      <c r="AZ25" s="105"/>
      <c r="BA25" s="109"/>
      <c r="BB25" s="238"/>
      <c r="BC25" s="79">
        <f>'Var Vorgaben'!$E$186</f>
        <v>400</v>
      </c>
      <c r="BD25" s="611">
        <f>BC25/$BC$73</f>
        <v>7.3572244653069907E-3</v>
      </c>
      <c r="BE25" s="104" t="s">
        <v>170</v>
      </c>
      <c r="BF25" s="109"/>
      <c r="BG25" s="105"/>
      <c r="BH25" s="109"/>
      <c r="BI25" s="238"/>
      <c r="BJ25" s="79">
        <f>'Var Vorgaben'!$E$186</f>
        <v>400</v>
      </c>
      <c r="BK25" s="1225">
        <f t="shared" si="1"/>
        <v>3.9875296490409495E-3</v>
      </c>
      <c r="BL25" s="104" t="s">
        <v>170</v>
      </c>
      <c r="BM25" s="109"/>
      <c r="BN25" s="105"/>
      <c r="BO25" s="109"/>
      <c r="BP25" s="238"/>
      <c r="BQ25" s="79">
        <f>'Var Vorgaben'!$E$186</f>
        <v>400</v>
      </c>
      <c r="BR25" s="1225">
        <f t="shared" si="2"/>
        <v>6.7838844415417767E-3</v>
      </c>
      <c r="BS25" s="104" t="s">
        <v>170</v>
      </c>
      <c r="BT25" s="109"/>
      <c r="BU25" s="105"/>
      <c r="BV25" s="109"/>
      <c r="BW25" s="238"/>
      <c r="BX25" s="79">
        <f>'Var Vorgaben'!$E$186</f>
        <v>400</v>
      </c>
      <c r="BY25" s="611">
        <f>BX25/$BX$73</f>
        <v>7.3765858533915984E-3</v>
      </c>
      <c r="BZ25" s="104" t="s">
        <v>170</v>
      </c>
      <c r="CA25" s="109"/>
      <c r="CB25" s="105"/>
      <c r="CC25" s="109"/>
      <c r="CD25" s="238"/>
      <c r="CE25" s="79">
        <f>'Var Vorgaben'!$E$186</f>
        <v>400</v>
      </c>
      <c r="CF25" s="611">
        <f>CE25/$CE$73</f>
        <v>7.2072415525181732E-3</v>
      </c>
      <c r="CG25" s="104" t="s">
        <v>170</v>
      </c>
      <c r="CH25" s="109"/>
      <c r="CI25" s="105"/>
      <c r="CJ25" s="109"/>
      <c r="CK25" s="238"/>
      <c r="CL25" s="79">
        <f>'Var Vorgaben'!$E$186</f>
        <v>400</v>
      </c>
      <c r="CM25" s="1225">
        <f>CL25/$CL$73</f>
        <v>7.4299509493935996E-3</v>
      </c>
      <c r="CN25" s="104" t="s">
        <v>170</v>
      </c>
      <c r="CO25" s="109"/>
      <c r="CP25" s="105"/>
      <c r="CQ25" s="109"/>
      <c r="CR25" s="238"/>
      <c r="CS25" s="79">
        <f>'Var Vorgaben'!$E$186</f>
        <v>400</v>
      </c>
      <c r="CT25" s="611">
        <f>CS25/$CS$73</f>
        <v>7.4582086331719212E-3</v>
      </c>
      <c r="CU25" s="104" t="s">
        <v>170</v>
      </c>
      <c r="CV25" s="109"/>
      <c r="CW25" s="105"/>
      <c r="CX25" s="109"/>
      <c r="CY25" s="238"/>
      <c r="CZ25" s="79">
        <f>'Var Vorgaben'!$E$186</f>
        <v>400</v>
      </c>
      <c r="DA25" s="611">
        <f>CZ25/$CZ$73</f>
        <v>7.2858486647647217E-3</v>
      </c>
      <c r="DB25" s="104" t="s">
        <v>170</v>
      </c>
      <c r="DC25" s="109"/>
      <c r="DD25" s="105"/>
      <c r="DE25" s="109"/>
      <c r="DF25" s="238"/>
      <c r="DG25" s="79">
        <f>'Var Vorgaben'!$E$186</f>
        <v>400</v>
      </c>
      <c r="DH25" s="611">
        <f>DG25/$DG$73</f>
        <v>6.7531087329277461E-3</v>
      </c>
    </row>
    <row r="26" spans="1:118" ht="18" customHeight="1" x14ac:dyDescent="0.2">
      <c r="A26" s="104"/>
      <c r="B26" s="1256"/>
      <c r="C26" s="105"/>
      <c r="D26" s="1256"/>
      <c r="E26" s="238"/>
      <c r="F26" s="79"/>
      <c r="G26" s="611"/>
      <c r="H26" s="104"/>
      <c r="I26" s="1256"/>
      <c r="J26" s="105"/>
      <c r="K26" s="1256"/>
      <c r="L26" s="238"/>
      <c r="M26" s="79"/>
      <c r="N26" s="611"/>
      <c r="O26" s="91" t="s">
        <v>505</v>
      </c>
      <c r="P26" s="1256"/>
      <c r="Q26" s="105"/>
      <c r="R26" s="1256"/>
      <c r="S26" s="238"/>
      <c r="T26" s="1355">
        <f>'Var Erstellung'!$F$107</f>
        <v>0</v>
      </c>
      <c r="U26" s="1225">
        <f t="shared" si="5"/>
        <v>0</v>
      </c>
      <c r="V26" s="104"/>
      <c r="W26" s="1256"/>
      <c r="X26" s="105"/>
      <c r="Y26" s="1256"/>
      <c r="Z26" s="238"/>
      <c r="AA26" s="79"/>
      <c r="AB26" s="1120"/>
      <c r="AC26" s="104"/>
      <c r="AD26" s="1256"/>
      <c r="AE26" s="105"/>
      <c r="AF26" s="1256"/>
      <c r="AG26" s="238"/>
      <c r="AH26" s="79"/>
      <c r="AI26" s="1120"/>
      <c r="AJ26" s="104"/>
      <c r="AK26" s="1256"/>
      <c r="AL26" s="105"/>
      <c r="AM26" s="1256"/>
      <c r="AN26" s="238"/>
      <c r="AO26" s="79"/>
      <c r="AP26" s="611"/>
      <c r="AQ26" s="104"/>
      <c r="AR26" s="1256"/>
      <c r="AS26" s="105"/>
      <c r="AT26" s="1256"/>
      <c r="AU26" s="238"/>
      <c r="AV26" s="79"/>
      <c r="AW26" s="42">
        <f t="shared" si="4"/>
        <v>0</v>
      </c>
      <c r="AX26" s="104"/>
      <c r="AY26" s="1256"/>
      <c r="AZ26" s="105"/>
      <c r="BA26" s="1256"/>
      <c r="BB26" s="238"/>
      <c r="BC26" s="79"/>
      <c r="BD26" s="611"/>
      <c r="BE26" s="104"/>
      <c r="BF26" s="1256"/>
      <c r="BG26" s="105"/>
      <c r="BH26" s="1256"/>
      <c r="BI26" s="238"/>
      <c r="BJ26" s="79"/>
      <c r="BK26" s="611"/>
      <c r="BL26" s="91" t="s">
        <v>505</v>
      </c>
      <c r="BM26" s="1256"/>
      <c r="BN26" s="105"/>
      <c r="BO26" s="1256"/>
      <c r="BP26" s="238"/>
      <c r="BQ26" s="1355">
        <f>'Var Erstellung'!$F$107</f>
        <v>0</v>
      </c>
      <c r="BR26" s="1225">
        <f t="shared" si="2"/>
        <v>0</v>
      </c>
      <c r="BS26" s="104"/>
      <c r="BT26" s="1256"/>
      <c r="BU26" s="105"/>
      <c r="BV26" s="1256"/>
      <c r="BW26" s="238"/>
      <c r="BX26" s="79"/>
      <c r="BY26" s="611"/>
      <c r="BZ26" s="104"/>
      <c r="CA26" s="1256"/>
      <c r="CB26" s="105"/>
      <c r="CC26" s="1256"/>
      <c r="CD26" s="238"/>
      <c r="CE26" s="79"/>
      <c r="CF26" s="611"/>
      <c r="CG26" s="104"/>
      <c r="CH26" s="1256"/>
      <c r="CI26" s="105"/>
      <c r="CJ26" s="1256"/>
      <c r="CK26" s="238"/>
      <c r="CL26" s="79"/>
      <c r="CM26" s="42"/>
      <c r="CN26" s="104"/>
      <c r="CO26" s="1256"/>
      <c r="CP26" s="105"/>
      <c r="CQ26" s="1256"/>
      <c r="CR26" s="238"/>
      <c r="CS26" s="79"/>
      <c r="CT26" s="611"/>
      <c r="CU26" s="104"/>
      <c r="CV26" s="1256"/>
      <c r="CW26" s="105"/>
      <c r="CX26" s="1256"/>
      <c r="CY26" s="238"/>
      <c r="CZ26" s="79"/>
      <c r="DA26" s="611"/>
      <c r="DB26" s="104"/>
      <c r="DC26" s="1256"/>
      <c r="DD26" s="105"/>
      <c r="DE26" s="1256"/>
      <c r="DF26" s="238"/>
      <c r="DG26" s="79"/>
      <c r="DH26" s="611"/>
    </row>
    <row r="27" spans="1:118" s="1" customFormat="1" ht="18" customHeight="1" x14ac:dyDescent="0.2">
      <c r="A27" s="104"/>
      <c r="B27" s="109"/>
      <c r="C27" s="105"/>
      <c r="D27" s="109"/>
      <c r="E27" s="238"/>
      <c r="F27" s="79"/>
      <c r="G27" s="735"/>
      <c r="H27" s="104"/>
      <c r="I27" s="109"/>
      <c r="J27" s="105"/>
      <c r="K27" s="109"/>
      <c r="L27" s="238"/>
      <c r="M27" s="79"/>
      <c r="N27" s="385"/>
      <c r="O27" s="91" t="s">
        <v>524</v>
      </c>
      <c r="P27" s="109"/>
      <c r="Q27" s="105"/>
      <c r="R27" s="109"/>
      <c r="S27" s="238"/>
      <c r="T27" s="1355">
        <f>'Var Erstellung'!$F$109+'Var Erstellung'!F108+'Var Erstellung'!F110</f>
        <v>10734.9786</v>
      </c>
      <c r="U27" s="1226">
        <f t="shared" si="5"/>
        <v>0.12532673945784553</v>
      </c>
      <c r="V27" s="104"/>
      <c r="W27" s="109"/>
      <c r="X27" s="105"/>
      <c r="Y27" s="109"/>
      <c r="Z27" s="238"/>
      <c r="AA27" s="79"/>
      <c r="AB27" s="1121"/>
      <c r="AC27" s="104"/>
      <c r="AD27" s="109"/>
      <c r="AE27" s="105"/>
      <c r="AF27" s="109"/>
      <c r="AG27" s="238"/>
      <c r="AH27" s="79"/>
      <c r="AI27" s="1121"/>
      <c r="AJ27" s="104"/>
      <c r="AK27" s="109"/>
      <c r="AL27" s="105"/>
      <c r="AM27" s="109"/>
      <c r="AN27" s="238"/>
      <c r="AO27" s="79"/>
      <c r="AP27" s="385"/>
      <c r="AQ27" s="104"/>
      <c r="AR27" s="109"/>
      <c r="AS27" s="105"/>
      <c r="AT27" s="109"/>
      <c r="AU27" s="238"/>
      <c r="AV27" s="79"/>
      <c r="AW27" s="42">
        <f t="shared" si="4"/>
        <v>0</v>
      </c>
      <c r="AX27" s="104"/>
      <c r="AY27" s="109"/>
      <c r="AZ27" s="105"/>
      <c r="BA27" s="109"/>
      <c r="BB27" s="238"/>
      <c r="BC27" s="79"/>
      <c r="BD27" s="385"/>
      <c r="BE27" s="104"/>
      <c r="BF27" s="109"/>
      <c r="BG27" s="105"/>
      <c r="BH27" s="109"/>
      <c r="BI27" s="238"/>
      <c r="BJ27" s="79"/>
      <c r="BK27" s="385"/>
      <c r="BL27" s="91" t="s">
        <v>521</v>
      </c>
      <c r="BM27" s="1256"/>
      <c r="BN27" s="105"/>
      <c r="BO27" s="1256"/>
      <c r="BP27" s="238"/>
      <c r="BQ27" s="1355">
        <f>'Var Erstellung'!$F$109</f>
        <v>3470.0099999999998</v>
      </c>
      <c r="BR27" s="1225">
        <f t="shared" si="2"/>
        <v>5.8850367127485946E-2</v>
      </c>
      <c r="BS27" s="104"/>
      <c r="BT27" s="109"/>
      <c r="BU27" s="105"/>
      <c r="BV27" s="109"/>
      <c r="BW27" s="238"/>
      <c r="BX27" s="79"/>
      <c r="BY27" s="385"/>
      <c r="BZ27" s="104"/>
      <c r="CA27" s="109"/>
      <c r="CB27" s="105"/>
      <c r="CC27" s="109"/>
      <c r="CD27" s="238"/>
      <c r="CE27" s="79"/>
      <c r="CF27" s="385"/>
      <c r="CG27" s="104"/>
      <c r="CH27" s="109"/>
      <c r="CI27" s="105"/>
      <c r="CJ27" s="109"/>
      <c r="CK27" s="238"/>
      <c r="CL27" s="79"/>
      <c r="CM27" s="385"/>
      <c r="CN27" s="104"/>
      <c r="CO27" s="109"/>
      <c r="CP27" s="105"/>
      <c r="CQ27" s="109"/>
      <c r="CR27" s="238"/>
      <c r="CS27" s="79"/>
      <c r="CT27" s="385"/>
      <c r="CU27" s="104"/>
      <c r="CV27" s="109"/>
      <c r="CW27" s="105"/>
      <c r="CX27" s="109"/>
      <c r="CY27" s="238"/>
      <c r="CZ27" s="79"/>
      <c r="DA27" s="385"/>
      <c r="DB27" s="104"/>
      <c r="DC27" s="109"/>
      <c r="DD27" s="105"/>
      <c r="DE27" s="109"/>
      <c r="DF27" s="238"/>
      <c r="DG27" s="79"/>
      <c r="DH27" s="385"/>
    </row>
    <row r="28" spans="1:118" ht="18" customHeight="1" x14ac:dyDescent="0.2">
      <c r="A28" s="62" t="s">
        <v>459</v>
      </c>
      <c r="B28" s="1" t="str">
        <f>'Var Vorgaben'!$F$33</f>
        <v>Tafelkirschen</v>
      </c>
      <c r="C28" s="4" t="s">
        <v>177</v>
      </c>
      <c r="D28" s="45"/>
      <c r="E28" s="61"/>
      <c r="F28" s="61">
        <f>'Var Vorgaben'!$G$33</f>
        <v>325</v>
      </c>
      <c r="G28" s="42">
        <f t="shared" ref="G28:G34" si="6">F28/$F$73</f>
        <v>2.6927276608309438E-2</v>
      </c>
      <c r="H28" s="62" t="str">
        <f>A28</f>
        <v>Abzüge und Branchenbeiträge</v>
      </c>
      <c r="I28" s="1" t="str">
        <f>'Var Vorgaben'!$F$33</f>
        <v>Tafelkirschen</v>
      </c>
      <c r="J28" s="4" t="s">
        <v>177</v>
      </c>
      <c r="K28" s="45"/>
      <c r="L28" s="61"/>
      <c r="M28" s="61">
        <f>'Var Vorgaben'!$G$33</f>
        <v>325</v>
      </c>
      <c r="N28" s="42"/>
      <c r="O28" s="62" t="str">
        <f>$H$28</f>
        <v>Abzüge und Branchenbeiträge</v>
      </c>
      <c r="P28" s="1" t="str">
        <f>'Var Vorgaben'!$F$33</f>
        <v>Tafelkirschen</v>
      </c>
      <c r="Q28" s="4" t="s">
        <v>177</v>
      </c>
      <c r="R28" s="45"/>
      <c r="S28" s="61"/>
      <c r="T28" s="61">
        <f>'Var Vorgaben'!$G$33</f>
        <v>325</v>
      </c>
      <c r="U28" s="1120">
        <f t="shared" si="5"/>
        <v>3.7942497923377132E-3</v>
      </c>
      <c r="V28" s="62" t="str">
        <f>$H$28</f>
        <v>Abzüge und Branchenbeiträge</v>
      </c>
      <c r="W28" s="1" t="str">
        <f>'Var Vorgaben'!$F$33</f>
        <v>Tafelkirschen</v>
      </c>
      <c r="X28" s="4" t="s">
        <v>177</v>
      </c>
      <c r="Y28" s="45"/>
      <c r="Z28" s="61"/>
      <c r="AA28" s="61">
        <f>'Var Vorgaben'!$G$33</f>
        <v>325</v>
      </c>
      <c r="AB28" s="1120">
        <f t="shared" ref="AB28:AB34" si="7">AA28/$AA$73</f>
        <v>9.6648923451689139E-3</v>
      </c>
      <c r="AC28" s="62" t="str">
        <f>$H$28</f>
        <v>Abzüge und Branchenbeiträge</v>
      </c>
      <c r="AD28" s="1" t="str">
        <f>'Var Vorgaben'!$F$33</f>
        <v>Tafelkirschen</v>
      </c>
      <c r="AE28" s="4" t="s">
        <v>177</v>
      </c>
      <c r="AF28" s="45"/>
      <c r="AG28" s="61"/>
      <c r="AH28" s="61">
        <f>'Var Vorgaben'!$G$33</f>
        <v>325</v>
      </c>
      <c r="AI28" s="1120">
        <f>AH28/$AH$73</f>
        <v>5.9153017842690806E-3</v>
      </c>
      <c r="AJ28" s="62" t="str">
        <f>$H$28</f>
        <v>Abzüge und Branchenbeiträge</v>
      </c>
      <c r="AK28" s="1" t="str">
        <f>'Var Vorgaben'!$F$33</f>
        <v>Tafelkirschen</v>
      </c>
      <c r="AL28" s="4" t="s">
        <v>177</v>
      </c>
      <c r="AM28" s="45"/>
      <c r="AN28" s="61"/>
      <c r="AO28" s="61">
        <f>'Var Vorgaben'!$G$33</f>
        <v>325</v>
      </c>
      <c r="AP28" s="42">
        <f t="shared" ref="AP28:AP35" si="8">AO28/$AO$73</f>
        <v>5.7805720835618236E-3</v>
      </c>
      <c r="AQ28" s="62" t="str">
        <f>$H$28</f>
        <v>Abzüge und Branchenbeiträge</v>
      </c>
      <c r="AR28" s="1" t="str">
        <f>'Var Vorgaben'!$F$33</f>
        <v>Tafelkirschen</v>
      </c>
      <c r="AS28" s="4" t="s">
        <v>177</v>
      </c>
      <c r="AT28" s="45"/>
      <c r="AU28" s="61"/>
      <c r="AV28" s="61">
        <f>'Var Vorgaben'!$G$33</f>
        <v>325</v>
      </c>
      <c r="AW28" s="42">
        <f t="shared" si="4"/>
        <v>5.9561185444912098E-3</v>
      </c>
      <c r="AX28" s="62" t="str">
        <f>$H$28</f>
        <v>Abzüge und Branchenbeiträge</v>
      </c>
      <c r="AY28" s="1" t="str">
        <f>'Var Vorgaben'!$F$33</f>
        <v>Tafelkirschen</v>
      </c>
      <c r="AZ28" s="4" t="s">
        <v>177</v>
      </c>
      <c r="BA28" s="45"/>
      <c r="BB28" s="61"/>
      <c r="BC28" s="61">
        <f>'Var Vorgaben'!$G$33</f>
        <v>325</v>
      </c>
      <c r="BD28" s="42">
        <f>BC28/$BC$73</f>
        <v>5.9777448780619306E-3</v>
      </c>
      <c r="BE28" s="62" t="str">
        <f>$H$28</f>
        <v>Abzüge und Branchenbeiträge</v>
      </c>
      <c r="BF28" s="1" t="str">
        <f>'Var Vorgaben'!$F$33</f>
        <v>Tafelkirschen</v>
      </c>
      <c r="BG28" s="4" t="s">
        <v>177</v>
      </c>
      <c r="BH28" s="45"/>
      <c r="BI28" s="61"/>
      <c r="BJ28" s="61">
        <f>'Var Vorgaben'!$G$33</f>
        <v>325</v>
      </c>
      <c r="BK28" s="42">
        <f t="shared" ref="BK28:BK35" si="9">BJ28/$BJ$73</f>
        <v>3.2398678398457715E-3</v>
      </c>
      <c r="BL28" s="62" t="str">
        <f>$H$28</f>
        <v>Abzüge und Branchenbeiträge</v>
      </c>
      <c r="BM28" s="1" t="str">
        <f>'Var Vorgaben'!$F$33</f>
        <v>Tafelkirschen</v>
      </c>
      <c r="BN28" s="4" t="s">
        <v>177</v>
      </c>
      <c r="BO28" s="45"/>
      <c r="BP28" s="61"/>
      <c r="BQ28" s="61">
        <f>'Var Vorgaben'!$G$33</f>
        <v>325</v>
      </c>
      <c r="BR28" s="42">
        <f t="shared" si="2"/>
        <v>5.5119061087526939E-3</v>
      </c>
      <c r="BS28" s="62" t="str">
        <f>$H$28</f>
        <v>Abzüge und Branchenbeiträge</v>
      </c>
      <c r="BT28" s="1" t="str">
        <f>'Var Vorgaben'!$F$33</f>
        <v>Tafelkirschen</v>
      </c>
      <c r="BU28" s="4" t="s">
        <v>177</v>
      </c>
      <c r="BV28" s="45"/>
      <c r="BW28" s="61"/>
      <c r="BX28" s="61">
        <f>'Var Vorgaben'!$G$33</f>
        <v>325</v>
      </c>
      <c r="BY28" s="42">
        <f>BX28/$BX$73</f>
        <v>5.9934760058806737E-3</v>
      </c>
      <c r="BZ28" s="62" t="str">
        <f>$H$28</f>
        <v>Abzüge und Branchenbeiträge</v>
      </c>
      <c r="CA28" s="1" t="str">
        <f>'Var Vorgaben'!$F$33</f>
        <v>Tafelkirschen</v>
      </c>
      <c r="CB28" s="4" t="s">
        <v>177</v>
      </c>
      <c r="CC28" s="45"/>
      <c r="CE28" s="61">
        <f>'Var Vorgaben'!$G$33</f>
        <v>325</v>
      </c>
      <c r="CF28" s="42">
        <f>CE28/$CE$73</f>
        <v>5.8558837614210157E-3</v>
      </c>
      <c r="CG28" s="62" t="str">
        <f>$H$28</f>
        <v>Abzüge und Branchenbeiträge</v>
      </c>
      <c r="CH28" s="1" t="str">
        <f>'Var Vorgaben'!$F$33</f>
        <v>Tafelkirschen</v>
      </c>
      <c r="CI28" s="4" t="s">
        <v>177</v>
      </c>
      <c r="CJ28" s="45"/>
      <c r="CK28" s="61"/>
      <c r="CL28" s="61">
        <f>'Var Vorgaben'!$G$33</f>
        <v>325</v>
      </c>
      <c r="CM28" s="42">
        <f>CL28/$CL$73</f>
        <v>6.0368351463822995E-3</v>
      </c>
      <c r="CN28" s="62" t="str">
        <f>$H$28</f>
        <v>Abzüge und Branchenbeiträge</v>
      </c>
      <c r="CO28" s="1" t="str">
        <f>'Var Vorgaben'!$F$33</f>
        <v>Tafelkirschen</v>
      </c>
      <c r="CP28" s="4" t="s">
        <v>177</v>
      </c>
      <c r="CQ28" s="45"/>
      <c r="CR28" s="61"/>
      <c r="CS28" s="61">
        <f>'Var Vorgaben'!$G$33</f>
        <v>325</v>
      </c>
      <c r="CT28" s="42">
        <f>CS28/$CS$73</f>
        <v>6.059794514452186E-3</v>
      </c>
      <c r="CU28" s="62" t="str">
        <f>$H$28</f>
        <v>Abzüge und Branchenbeiträge</v>
      </c>
      <c r="CV28" s="1" t="str">
        <f>'Var Vorgaben'!$F$33</f>
        <v>Tafelkirschen</v>
      </c>
      <c r="CW28" s="4" t="s">
        <v>177</v>
      </c>
      <c r="CX28" s="45"/>
      <c r="CY28" s="61"/>
      <c r="CZ28" s="61">
        <f>'Var Vorgaben'!$G$33</f>
        <v>325</v>
      </c>
      <c r="DA28" s="42">
        <f>CZ28/$CZ$73</f>
        <v>5.9197520401213363E-3</v>
      </c>
      <c r="DB28" s="62" t="str">
        <f>$H$28</f>
        <v>Abzüge und Branchenbeiträge</v>
      </c>
      <c r="DC28" s="1" t="str">
        <f>'Var Vorgaben'!$F$33</f>
        <v>Tafelkirschen</v>
      </c>
      <c r="DD28" s="4" t="s">
        <v>177</v>
      </c>
      <c r="DE28" s="45"/>
      <c r="DF28" s="61"/>
      <c r="DG28" s="61">
        <f>'Var Vorgaben'!$G$33</f>
        <v>325</v>
      </c>
      <c r="DH28" s="42">
        <f>DG28/$DG$73</f>
        <v>5.486900845503794E-3</v>
      </c>
    </row>
    <row r="29" spans="1:118" ht="18" customHeight="1" x14ac:dyDescent="0.2">
      <c r="B29" s="4" t="str">
        <f>'Var Vorgaben'!$F$34</f>
        <v>Brennkirschen</v>
      </c>
      <c r="C29" s="4" t="s">
        <v>65</v>
      </c>
      <c r="D29" s="45"/>
      <c r="E29" s="61">
        <f>'Var Vorgaben'!$G$34</f>
        <v>2.57</v>
      </c>
      <c r="F29" s="116">
        <f>E29*D9*0.75/100</f>
        <v>0</v>
      </c>
      <c r="G29" s="42">
        <f t="shared" si="6"/>
        <v>0</v>
      </c>
      <c r="H29" s="17"/>
      <c r="I29" s="4" t="str">
        <f>'Var Vorgaben'!$F$34</f>
        <v>Brennkirschen</v>
      </c>
      <c r="J29" s="4" t="s">
        <v>65</v>
      </c>
      <c r="K29" s="45"/>
      <c r="L29" s="61">
        <f>'Var Vorgaben'!$G$34</f>
        <v>2.57</v>
      </c>
      <c r="M29" s="116">
        <f>L29*K9*0.75/100</f>
        <v>0</v>
      </c>
      <c r="N29" s="42">
        <f t="shared" ref="N29:N34" si="10">M29/$M$73</f>
        <v>0</v>
      </c>
      <c r="O29" s="17"/>
      <c r="P29" s="4" t="str">
        <f>'Var Vorgaben'!$F$34</f>
        <v>Brennkirschen</v>
      </c>
      <c r="Q29" s="4" t="s">
        <v>65</v>
      </c>
      <c r="R29" s="45"/>
      <c r="S29" s="61">
        <f>'Var Vorgaben'!$G$34</f>
        <v>2.57</v>
      </c>
      <c r="T29" s="116">
        <f>S29*R9*0.75/100</f>
        <v>2.1106124999999998</v>
      </c>
      <c r="U29" s="1120">
        <f t="shared" si="5"/>
        <v>2.4640587814862711E-5</v>
      </c>
      <c r="V29" s="17"/>
      <c r="W29" s="4" t="str">
        <f>'Var Vorgaben'!$F$34</f>
        <v>Brennkirschen</v>
      </c>
      <c r="X29" s="4" t="s">
        <v>65</v>
      </c>
      <c r="Y29" s="45"/>
      <c r="Z29" s="61">
        <f>'Var Vorgaben'!$G$34</f>
        <v>2.57</v>
      </c>
      <c r="AA29" s="116">
        <f>Z29*Y9*0.75/100</f>
        <v>7.0353749999999993</v>
      </c>
      <c r="AB29" s="1120">
        <f t="shared" si="7"/>
        <v>2.0921889840890071E-4</v>
      </c>
      <c r="AC29" s="17"/>
      <c r="AD29" s="4" t="str">
        <f>'Var Vorgaben'!$F$34</f>
        <v>Brennkirschen</v>
      </c>
      <c r="AE29" s="4" t="s">
        <v>65</v>
      </c>
      <c r="AF29" s="45"/>
      <c r="AG29" s="61">
        <f>'Var Vorgaben'!$G$34</f>
        <v>2.57</v>
      </c>
      <c r="AH29" s="116">
        <f>AG29*AF9*0.75/100</f>
        <v>19.274999999999995</v>
      </c>
      <c r="AI29" s="1120">
        <f>AH29/$AH$73</f>
        <v>3.5082289812857388E-4</v>
      </c>
      <c r="AJ29" s="17"/>
      <c r="AK29" s="4" t="str">
        <f>'Var Vorgaben'!$F$34</f>
        <v>Brennkirschen</v>
      </c>
      <c r="AL29" s="4" t="s">
        <v>65</v>
      </c>
      <c r="AM29" s="45"/>
      <c r="AN29" s="61">
        <f>'Var Vorgaben'!$G$34</f>
        <v>2.57</v>
      </c>
      <c r="AO29" s="116">
        <f>AN29*AM9*0.75/100</f>
        <v>19.274999999999995</v>
      </c>
      <c r="AP29" s="42">
        <f t="shared" si="8"/>
        <v>3.4283239049432036E-4</v>
      </c>
      <c r="AQ29" s="17"/>
      <c r="AR29" s="4" t="str">
        <f>'Var Vorgaben'!$F$34</f>
        <v>Brennkirschen</v>
      </c>
      <c r="AS29" s="4" t="s">
        <v>65</v>
      </c>
      <c r="AT29" s="45"/>
      <c r="AU29" s="61">
        <f>'Var Vorgaben'!$G$34</f>
        <v>2.57</v>
      </c>
      <c r="AV29" s="116">
        <f>AU29*AT9*0.75/100</f>
        <v>19.274999999999995</v>
      </c>
      <c r="AW29" s="42">
        <f t="shared" si="4"/>
        <v>3.5324364598482476E-4</v>
      </c>
      <c r="AX29" s="17"/>
      <c r="AY29" s="4" t="str">
        <f>'Var Vorgaben'!$F$34</f>
        <v>Brennkirschen</v>
      </c>
      <c r="AZ29" s="4" t="s">
        <v>65</v>
      </c>
      <c r="BA29" s="45"/>
      <c r="BB29" s="61">
        <f>'Var Vorgaben'!$G$34</f>
        <v>2.57</v>
      </c>
      <c r="BC29" s="116">
        <f>BB29*BA9*0.75/100</f>
        <v>19.274999999999995</v>
      </c>
      <c r="BD29" s="42">
        <f>BC29/$BC$73</f>
        <v>3.5452625392198053E-4</v>
      </c>
      <c r="BE29" s="17"/>
      <c r="BF29" s="4" t="str">
        <f>'Var Vorgaben'!$F$34</f>
        <v>Brennkirschen</v>
      </c>
      <c r="BG29" s="4" t="s">
        <v>65</v>
      </c>
      <c r="BH29" s="45"/>
      <c r="BI29" s="61">
        <f>'Var Vorgaben'!$G$34</f>
        <v>2.57</v>
      </c>
      <c r="BJ29" s="116">
        <f>BI29*BH9*0.75/100</f>
        <v>19.274999999999995</v>
      </c>
      <c r="BK29" s="42">
        <f t="shared" si="9"/>
        <v>1.9214908496316071E-4</v>
      </c>
      <c r="BL29" s="17"/>
      <c r="BM29" s="4" t="str">
        <f>'Var Vorgaben'!$F$34</f>
        <v>Brennkirschen</v>
      </c>
      <c r="BN29" s="4" t="s">
        <v>65</v>
      </c>
      <c r="BO29" s="45"/>
      <c r="BP29" s="61">
        <f>'Var Vorgaben'!$G$34</f>
        <v>2.57</v>
      </c>
      <c r="BQ29" s="116">
        <f>BP29*BO9*0.75/100</f>
        <v>19.274999999999995</v>
      </c>
      <c r="BR29" s="42">
        <f t="shared" si="2"/>
        <v>3.2689843152679428E-4</v>
      </c>
      <c r="BS29" s="17"/>
      <c r="BT29" s="4" t="str">
        <f>'Var Vorgaben'!$F$34</f>
        <v>Brennkirschen</v>
      </c>
      <c r="BU29" s="4" t="s">
        <v>65</v>
      </c>
      <c r="BV29" s="45"/>
      <c r="BW29" s="61">
        <f>'Var Vorgaben'!$G$34</f>
        <v>2.57</v>
      </c>
      <c r="BX29" s="116">
        <f>BW29*BV9*0.75/100</f>
        <v>19.274999999999995</v>
      </c>
      <c r="BY29" s="42">
        <f>BX29/$BX$73</f>
        <v>3.5545923081030758E-4</v>
      </c>
      <c r="BZ29" s="17"/>
      <c r="CA29" s="4" t="str">
        <f>'Var Vorgaben'!$F$34</f>
        <v>Brennkirschen</v>
      </c>
      <c r="CB29" s="4" t="s">
        <v>65</v>
      </c>
      <c r="CC29" s="45"/>
      <c r="CD29" s="61">
        <f>'Var Vorgaben'!$G$34</f>
        <v>2.57</v>
      </c>
      <c r="CE29" s="116">
        <f>CD29*CC9*0.75/100</f>
        <v>19.274999999999995</v>
      </c>
      <c r="CF29" s="42">
        <f>CE29/$CE$73</f>
        <v>3.4729895231196936E-4</v>
      </c>
      <c r="CG29" s="17"/>
      <c r="CH29" s="4" t="str">
        <f>'Var Vorgaben'!$F$34</f>
        <v>Brennkirschen</v>
      </c>
      <c r="CI29" s="4" t="s">
        <v>65</v>
      </c>
      <c r="CJ29" s="45"/>
      <c r="CK29" s="61">
        <f>'Var Vorgaben'!$G$34</f>
        <v>2.57</v>
      </c>
      <c r="CL29" s="116">
        <f>CK29*CJ9*0.75/100</f>
        <v>19.274999999999995</v>
      </c>
      <c r="CM29" s="42">
        <f>CL29/$CL$73</f>
        <v>3.5803076137390399E-4</v>
      </c>
      <c r="CN29" s="17"/>
      <c r="CO29" s="4" t="str">
        <f>'Var Vorgaben'!$F$34</f>
        <v>Brennkirschen</v>
      </c>
      <c r="CP29" s="4" t="s">
        <v>65</v>
      </c>
      <c r="CQ29" s="45"/>
      <c r="CR29" s="61">
        <f>'Var Vorgaben'!$G$34</f>
        <v>2.57</v>
      </c>
      <c r="CS29" s="116">
        <f>CR29*CQ9*0.75/100</f>
        <v>19.274999999999995</v>
      </c>
      <c r="CT29" s="42">
        <f>CS29/$CS$73</f>
        <v>3.5939242851097187E-4</v>
      </c>
      <c r="CU29" s="17"/>
      <c r="CV29" s="4" t="str">
        <f>'Var Vorgaben'!$F$34</f>
        <v>Brennkirschen</v>
      </c>
      <c r="CW29" s="4" t="s">
        <v>65</v>
      </c>
      <c r="CX29" s="45"/>
      <c r="CY29" s="61">
        <f>'Var Vorgaben'!$G$34</f>
        <v>2.57</v>
      </c>
      <c r="CZ29" s="116">
        <f>CY29*CX9*0.75/100</f>
        <v>19.274999999999995</v>
      </c>
      <c r="DA29" s="42">
        <f>CZ29/$CZ$73</f>
        <v>3.5108683253334995E-4</v>
      </c>
      <c r="DB29" s="17"/>
      <c r="DC29" s="4" t="str">
        <f>'Var Vorgaben'!$F$34</f>
        <v>Brennkirschen</v>
      </c>
      <c r="DD29" s="4" t="s">
        <v>65</v>
      </c>
      <c r="DE29" s="45"/>
      <c r="DF29" s="61">
        <f>'Var Vorgaben'!$G$34</f>
        <v>2.57</v>
      </c>
      <c r="DG29" s="116">
        <f>DF29*DE9*0.75/100</f>
        <v>19.274999999999995</v>
      </c>
      <c r="DH29" s="42">
        <f>DG29/$DG$73</f>
        <v>3.2541542706795572E-4</v>
      </c>
    </row>
    <row r="30" spans="1:118" ht="18" customHeight="1" thickBot="1" x14ac:dyDescent="0.25">
      <c r="A30" s="130"/>
      <c r="B30" t="str">
        <f>'Var Vorgaben'!$F$35</f>
        <v>Abzug</v>
      </c>
      <c r="C30" s="4" t="s">
        <v>460</v>
      </c>
      <c r="D30" s="1"/>
      <c r="E30" s="1089">
        <f>'Var Vorgaben'!$G$35</f>
        <v>0.25</v>
      </c>
      <c r="F30" s="607">
        <f>E30*D10</f>
        <v>0</v>
      </c>
      <c r="G30" s="42">
        <f t="shared" si="6"/>
        <v>0</v>
      </c>
      <c r="H30" s="130"/>
      <c r="I30" t="str">
        <f>'Var Vorgaben'!$F$35</f>
        <v>Abzug</v>
      </c>
      <c r="J30" s="4" t="s">
        <v>460</v>
      </c>
      <c r="K30" s="1"/>
      <c r="L30" s="1089">
        <f>'Var Vorgaben'!$G$35</f>
        <v>0.25</v>
      </c>
      <c r="M30" s="607">
        <f>L30*K10</f>
        <v>0</v>
      </c>
      <c r="N30" s="42">
        <f t="shared" si="10"/>
        <v>0</v>
      </c>
      <c r="O30" s="130"/>
      <c r="P30" t="str">
        <f>'Var Vorgaben'!$F$35</f>
        <v>Abzug</v>
      </c>
      <c r="Q30" s="4" t="s">
        <v>460</v>
      </c>
      <c r="R30" s="1"/>
      <c r="S30" s="1089">
        <f>'Var Vorgaben'!$G$35</f>
        <v>0.25</v>
      </c>
      <c r="T30" s="607">
        <f>S30*R10</f>
        <v>273.75</v>
      </c>
      <c r="U30" s="1120">
        <f t="shared" si="5"/>
        <v>3.1959257866229201E-3</v>
      </c>
      <c r="V30" s="130"/>
      <c r="W30" t="str">
        <f>'Var Vorgaben'!$F$35</f>
        <v>Abzug</v>
      </c>
      <c r="X30" s="4" t="s">
        <v>460</v>
      </c>
      <c r="Y30" s="1"/>
      <c r="Z30" s="1089">
        <f>'Var Vorgaben'!$G$35</f>
        <v>0.25</v>
      </c>
      <c r="AA30" s="607">
        <f>Z30*Y10</f>
        <v>912.5</v>
      </c>
      <c r="AB30" s="1120">
        <f t="shared" si="7"/>
        <v>2.7136043892205027E-2</v>
      </c>
      <c r="AC30" s="130"/>
      <c r="AD30" t="str">
        <f>'Var Vorgaben'!$F$35</f>
        <v>Abzug</v>
      </c>
      <c r="AE30" s="4" t="s">
        <v>460</v>
      </c>
      <c r="AF30" s="1"/>
      <c r="AG30" s="1089">
        <f>'Var Vorgaben'!$G$35</f>
        <v>0.25</v>
      </c>
      <c r="AH30" s="607">
        <f>AG30*AF10</f>
        <v>2500</v>
      </c>
      <c r="AI30" s="1120">
        <f>AH30/$AH$73</f>
        <v>4.5502321417454472E-2</v>
      </c>
      <c r="AJ30" s="130"/>
      <c r="AK30" t="str">
        <f>'Var Vorgaben'!$F$35</f>
        <v>Abzug</v>
      </c>
      <c r="AL30" s="4" t="s">
        <v>460</v>
      </c>
      <c r="AM30" s="1"/>
      <c r="AN30" s="1089">
        <f>'Var Vorgaben'!$G$35</f>
        <v>0.25</v>
      </c>
      <c r="AO30" s="607">
        <f>AN30*AM10</f>
        <v>2500</v>
      </c>
      <c r="AP30" s="42">
        <f t="shared" si="8"/>
        <v>4.4465939104321721E-2</v>
      </c>
      <c r="AQ30" s="130"/>
      <c r="AR30" t="str">
        <f>'Var Vorgaben'!$F$35</f>
        <v>Abzug</v>
      </c>
      <c r="AS30" s="4" t="s">
        <v>460</v>
      </c>
      <c r="AT30" s="1"/>
      <c r="AU30" s="1089">
        <f>'Var Vorgaben'!$G$35</f>
        <v>0.25</v>
      </c>
      <c r="AV30" s="607">
        <f>AU30*AT10</f>
        <v>2500</v>
      </c>
      <c r="AW30" s="42">
        <f t="shared" si="4"/>
        <v>4.5816296496086234E-2</v>
      </c>
      <c r="AX30" s="130"/>
      <c r="AY30" t="str">
        <f>'Var Vorgaben'!$F$35</f>
        <v>Abzug</v>
      </c>
      <c r="AZ30" s="4" t="s">
        <v>460</v>
      </c>
      <c r="BA30" s="1"/>
      <c r="BB30" s="1089">
        <f>'Var Vorgaben'!$G$35</f>
        <v>0.25</v>
      </c>
      <c r="BC30" s="607">
        <f>BB30*BA10</f>
        <v>2500</v>
      </c>
      <c r="BD30" s="42">
        <f>BC30/$BC$73</f>
        <v>4.5982652908168692E-2</v>
      </c>
      <c r="BE30" s="130"/>
      <c r="BF30" t="str">
        <f>'Var Vorgaben'!$F$35</f>
        <v>Abzug</v>
      </c>
      <c r="BG30" s="4" t="s">
        <v>460</v>
      </c>
      <c r="BH30" s="1"/>
      <c r="BI30" s="1089">
        <f>'Var Vorgaben'!$G$35</f>
        <v>0.25</v>
      </c>
      <c r="BJ30" s="607">
        <f>BI30*BH10</f>
        <v>2500</v>
      </c>
      <c r="BK30" s="42">
        <f t="shared" si="9"/>
        <v>2.4922060306505935E-2</v>
      </c>
      <c r="BL30" s="130"/>
      <c r="BM30" t="str">
        <f>'Var Vorgaben'!$F$35</f>
        <v>Abzug</v>
      </c>
      <c r="BN30" s="4" t="s">
        <v>460</v>
      </c>
      <c r="BO30" s="1"/>
      <c r="BP30" s="1089">
        <f>'Var Vorgaben'!$G$35</f>
        <v>0.25</v>
      </c>
      <c r="BQ30" s="607">
        <f>BP30*BO10</f>
        <v>2500</v>
      </c>
      <c r="BR30" s="42">
        <f t="shared" si="2"/>
        <v>4.2399277759636103E-2</v>
      </c>
      <c r="BS30" s="130"/>
      <c r="BT30" t="str">
        <f>'Var Vorgaben'!$F$35</f>
        <v>Abzug</v>
      </c>
      <c r="BU30" s="4" t="s">
        <v>460</v>
      </c>
      <c r="BV30" s="1"/>
      <c r="BW30" s="1089">
        <f>'Var Vorgaben'!$G$35</f>
        <v>0.25</v>
      </c>
      <c r="BX30" s="607">
        <f>BW30*BV10</f>
        <v>2500</v>
      </c>
      <c r="BY30" s="42">
        <f>BX30/$BX$73</f>
        <v>4.610366158369749E-2</v>
      </c>
      <c r="BZ30" s="130"/>
      <c r="CA30" t="str">
        <f>'Var Vorgaben'!$F$35</f>
        <v>Abzug</v>
      </c>
      <c r="CB30" s="4" t="s">
        <v>460</v>
      </c>
      <c r="CC30" s="1"/>
      <c r="CD30" s="1089">
        <f>'Var Vorgaben'!$G$35</f>
        <v>0.25</v>
      </c>
      <c r="CE30" s="607">
        <f>CD30*CC10</f>
        <v>2500</v>
      </c>
      <c r="CF30" s="42">
        <f>CE30/$CE$73</f>
        <v>4.5045259703238583E-2</v>
      </c>
      <c r="CG30" s="130"/>
      <c r="CH30" t="str">
        <f>'Var Vorgaben'!$F$35</f>
        <v>Abzug</v>
      </c>
      <c r="CI30" s="4" t="s">
        <v>460</v>
      </c>
      <c r="CJ30" s="1"/>
      <c r="CK30" s="1089">
        <f>'Var Vorgaben'!$G$35</f>
        <v>0.25</v>
      </c>
      <c r="CL30" s="607">
        <f>CK30*CJ10</f>
        <v>2500</v>
      </c>
      <c r="CM30" s="42">
        <f>CL30/$CL$73</f>
        <v>4.643719343371E-2</v>
      </c>
      <c r="CN30" s="130"/>
      <c r="CO30" t="str">
        <f>'Var Vorgaben'!$F$35</f>
        <v>Abzug</v>
      </c>
      <c r="CP30" s="4" t="s">
        <v>460</v>
      </c>
      <c r="CQ30" s="1"/>
      <c r="CR30" s="1089">
        <f>'Var Vorgaben'!$G$35</f>
        <v>0.25</v>
      </c>
      <c r="CS30" s="607">
        <f>CR30*CQ10</f>
        <v>2500</v>
      </c>
      <c r="CT30" s="42">
        <f>CS30/$CS$73</f>
        <v>4.6613803957324507E-2</v>
      </c>
      <c r="CU30" s="130"/>
      <c r="CV30" t="str">
        <f>'Var Vorgaben'!$F$35</f>
        <v>Abzug</v>
      </c>
      <c r="CW30" s="4" t="s">
        <v>460</v>
      </c>
      <c r="CX30" s="1"/>
      <c r="CY30" s="1089">
        <f>'Var Vorgaben'!$G$35</f>
        <v>0.25</v>
      </c>
      <c r="CZ30" s="607">
        <f>CY30*CX10</f>
        <v>2500</v>
      </c>
      <c r="DA30" s="42">
        <f>CZ30/$CZ$73</f>
        <v>4.5536554154779509E-2</v>
      </c>
      <c r="DB30" s="130"/>
      <c r="DC30" t="str">
        <f>'Var Vorgaben'!$F$35</f>
        <v>Abzug</v>
      </c>
      <c r="DD30" s="4" t="s">
        <v>460</v>
      </c>
      <c r="DE30" s="1"/>
      <c r="DF30" s="1089">
        <f>'Var Vorgaben'!$G$35</f>
        <v>0.25</v>
      </c>
      <c r="DG30" s="607">
        <f>DF30*DE10</f>
        <v>2500</v>
      </c>
      <c r="DH30" s="42">
        <f>DG30/$DG$73</f>
        <v>4.2206929580798414E-2</v>
      </c>
    </row>
    <row r="31" spans="1:118" ht="15" customHeight="1" x14ac:dyDescent="0.2">
      <c r="A31" s="144"/>
      <c r="B31"/>
      <c r="C31" s="1"/>
      <c r="D31" s="1"/>
      <c r="E31" s="61"/>
      <c r="F31" s="79">
        <f>SUM(F28:F30)</f>
        <v>325</v>
      </c>
      <c r="G31" s="611">
        <f t="shared" si="6"/>
        <v>2.6927276608309438E-2</v>
      </c>
      <c r="H31" s="144"/>
      <c r="I31"/>
      <c r="J31" s="1"/>
      <c r="K31" s="1"/>
      <c r="L31" s="61"/>
      <c r="M31" s="79">
        <f>SUM(M28:M30)</f>
        <v>325</v>
      </c>
      <c r="N31" s="611">
        <f t="shared" si="10"/>
        <v>2.6636349253382818E-2</v>
      </c>
      <c r="O31" s="144"/>
      <c r="Q31" s="1"/>
      <c r="R31" s="1"/>
      <c r="S31" s="61"/>
      <c r="T31" s="79">
        <f>SUM(T28:T30)</f>
        <v>600.8606125</v>
      </c>
      <c r="U31" s="1120">
        <f t="shared" si="5"/>
        <v>7.0148161667754954E-3</v>
      </c>
      <c r="V31" s="144"/>
      <c r="X31" s="1"/>
      <c r="Y31" s="1"/>
      <c r="Z31" s="61"/>
      <c r="AA31" s="79">
        <f>SUM(AA28:AA30)</f>
        <v>1244.5353749999999</v>
      </c>
      <c r="AB31" s="1120">
        <f t="shared" si="7"/>
        <v>3.7010155135782839E-2</v>
      </c>
      <c r="AC31" s="144"/>
      <c r="AE31" s="1"/>
      <c r="AF31" s="1"/>
      <c r="AG31" s="61"/>
      <c r="AH31" s="79">
        <f>SUM(AH28:AH30)</f>
        <v>2844.2750000000001</v>
      </c>
      <c r="AI31" s="1120">
        <f>AH31/$AH$73</f>
        <v>5.1768446099852122E-2</v>
      </c>
      <c r="AJ31" s="144"/>
      <c r="AL31" s="1"/>
      <c r="AM31" s="1"/>
      <c r="AN31" s="61"/>
      <c r="AO31" s="79">
        <f>SUM(AO28:AO30)</f>
        <v>2844.2750000000001</v>
      </c>
      <c r="AP31" s="1225">
        <f t="shared" si="8"/>
        <v>5.0589343578377861E-2</v>
      </c>
      <c r="AQ31" s="144"/>
      <c r="AS31" s="1"/>
      <c r="AT31" s="1"/>
      <c r="AU31" s="61"/>
      <c r="AV31" s="79">
        <f>SUM(AV28:AV30)</f>
        <v>2844.2750000000001</v>
      </c>
      <c r="AW31" s="1225">
        <f t="shared" si="4"/>
        <v>5.2125658686562271E-2</v>
      </c>
      <c r="AX31" s="144"/>
      <c r="AZ31" s="1"/>
      <c r="BA31" s="1"/>
      <c r="BB31" s="61"/>
      <c r="BC31" s="79">
        <f>SUM(BC28:BC30)</f>
        <v>2844.2750000000001</v>
      </c>
      <c r="BD31" s="611">
        <f>BC31/$BC$73</f>
        <v>5.2314924040152609E-2</v>
      </c>
      <c r="BE31" s="144"/>
      <c r="BG31" s="1"/>
      <c r="BH31" s="1"/>
      <c r="BI31" s="61"/>
      <c r="BJ31" s="79">
        <f>SUM(BJ28:BJ30)</f>
        <v>2844.2750000000001</v>
      </c>
      <c r="BK31" s="1225">
        <f t="shared" si="9"/>
        <v>2.8354077231314868E-2</v>
      </c>
      <c r="BL31" s="144"/>
      <c r="BM31" s="1"/>
      <c r="BN31" s="1"/>
      <c r="BO31" s="1"/>
      <c r="BP31" s="61"/>
      <c r="BQ31" s="79">
        <f>SUM(BQ28:BQ30)</f>
        <v>2844.2750000000001</v>
      </c>
      <c r="BR31" s="1225">
        <f t="shared" si="2"/>
        <v>4.8238082299915594E-2</v>
      </c>
      <c r="BS31" s="144"/>
      <c r="BT31" s="1"/>
      <c r="BU31" s="1"/>
      <c r="BV31" s="1"/>
      <c r="BW31" s="61"/>
      <c r="BX31" s="79">
        <f>SUM(BX28:BX30)</f>
        <v>2844.2750000000001</v>
      </c>
      <c r="BY31" s="611">
        <f>BX31/$BX$73</f>
        <v>5.2452596820388477E-2</v>
      </c>
      <c r="BZ31" s="144"/>
      <c r="CB31" s="1"/>
      <c r="CC31" s="1"/>
      <c r="CD31" s="61"/>
      <c r="CE31" s="79">
        <f>SUM(CE28:CE30)</f>
        <v>2844.2750000000001</v>
      </c>
      <c r="CF31" s="611">
        <f>CE31/$CE$73</f>
        <v>5.1248442416971567E-2</v>
      </c>
      <c r="CG31" s="144"/>
      <c r="CH31" s="1"/>
      <c r="CI31" s="1"/>
      <c r="CJ31" s="1"/>
      <c r="CK31" s="61"/>
      <c r="CL31" s="79">
        <f>SUM(CL28:CL30)</f>
        <v>2844.2750000000001</v>
      </c>
      <c r="CM31" s="611">
        <f>CL31/$CL$73</f>
        <v>5.2832059341466203E-2</v>
      </c>
      <c r="CN31" s="144"/>
      <c r="CP31" s="1"/>
      <c r="CQ31" s="1"/>
      <c r="CR31" s="61"/>
      <c r="CS31" s="79">
        <f>SUM(CS28:CS30)</f>
        <v>2844.2750000000001</v>
      </c>
      <c r="CT31" s="611">
        <f>CS31/$CS$73</f>
        <v>5.3032990900287666E-2</v>
      </c>
      <c r="CU31" s="144"/>
      <c r="CW31" s="1"/>
      <c r="CX31" s="1"/>
      <c r="CY31" s="61"/>
      <c r="CZ31" s="79">
        <f>SUM(CZ28:CZ30)</f>
        <v>2844.2750000000001</v>
      </c>
      <c r="DA31" s="611">
        <f>CZ31/$CZ$73</f>
        <v>5.1807393027434194E-2</v>
      </c>
      <c r="DB31" s="144"/>
      <c r="DD31" s="1"/>
      <c r="DE31" s="1"/>
      <c r="DF31" s="61"/>
      <c r="DG31" s="79">
        <f>SUM(DG28:DG30)</f>
        <v>2844.2750000000001</v>
      </c>
      <c r="DH31" s="611">
        <f>DG31/$DG$73</f>
        <v>4.8019245853370168E-2</v>
      </c>
    </row>
    <row r="32" spans="1:118" ht="14.25" customHeight="1" x14ac:dyDescent="0.2">
      <c r="A32" s="17" t="s">
        <v>210</v>
      </c>
      <c r="B32" s="416">
        <f>'Var Vorgaben'!$C$182</f>
        <v>405</v>
      </c>
      <c r="C32" s="417">
        <f>'Var Vorgaben'!$D$183*(1+Eingabeseite!$C$32)</f>
        <v>1.5</v>
      </c>
      <c r="D32" s="105" t="s">
        <v>209</v>
      </c>
      <c r="E32" s="61">
        <f>'Var Vorgaben'!$E$184</f>
        <v>0</v>
      </c>
      <c r="F32" s="117">
        <f>(B32*C32)+E32</f>
        <v>607.5</v>
      </c>
      <c r="G32" s="611">
        <f t="shared" si="6"/>
        <v>5.0333293967839948E-2</v>
      </c>
      <c r="H32" s="17" t="s">
        <v>408</v>
      </c>
      <c r="I32" s="416">
        <f>'Var Vorgaben'!$C$182</f>
        <v>405</v>
      </c>
      <c r="J32" s="417">
        <f>'Var Vorgaben'!$D$183*(1+Eingabeseite!$C$32)</f>
        <v>1.5</v>
      </c>
      <c r="K32" s="105" t="s">
        <v>209</v>
      </c>
      <c r="L32" s="61">
        <f>'Var Vorgaben'!$E$184</f>
        <v>0</v>
      </c>
      <c r="M32" s="117">
        <f>(I32*J32)+L32</f>
        <v>607.5</v>
      </c>
      <c r="N32" s="611">
        <f t="shared" si="10"/>
        <v>4.9789483604400192E-2</v>
      </c>
      <c r="O32" s="17" t="s">
        <v>210</v>
      </c>
      <c r="P32" s="416">
        <f>'Var Vorgaben'!$C$183</f>
        <v>1701</v>
      </c>
      <c r="Q32" s="417">
        <f>'Var Vorgaben'!$D$183*(1+Eingabeseite!$C$32)</f>
        <v>1.5</v>
      </c>
      <c r="R32" s="105" t="s">
        <v>209</v>
      </c>
      <c r="S32" s="61">
        <f>'Var Vorgaben'!$E$184</f>
        <v>0</v>
      </c>
      <c r="T32" s="117">
        <f>(P32*Q32)+S32</f>
        <v>2551.5</v>
      </c>
      <c r="U32" s="1120">
        <f t="shared" si="5"/>
        <v>2.978777952353746E-2</v>
      </c>
      <c r="V32" s="17" t="s">
        <v>405</v>
      </c>
      <c r="W32" s="416">
        <f>'Var Vorgaben'!$C$183</f>
        <v>1701</v>
      </c>
      <c r="X32" s="417">
        <f>'Var Vorgaben'!$D$183*(1+Eingabeseite!$C$32)</f>
        <v>1.5</v>
      </c>
      <c r="Y32" s="105" t="s">
        <v>209</v>
      </c>
      <c r="Z32" s="61">
        <f>'Var Vorgaben'!$E$184</f>
        <v>0</v>
      </c>
      <c r="AA32" s="117">
        <f>(W32*X32)+Z32</f>
        <v>2551.5</v>
      </c>
      <c r="AB32" s="1120">
        <f t="shared" si="7"/>
        <v>7.587683944214918E-2</v>
      </c>
      <c r="AC32" s="17" t="s">
        <v>215</v>
      </c>
      <c r="AD32" s="416">
        <f>'Var Vorgaben'!$C$183</f>
        <v>1701</v>
      </c>
      <c r="AE32" s="417">
        <f>'Var Vorgaben'!$D$183*(1+Eingabeseite!$C$32)</f>
        <v>1.5</v>
      </c>
      <c r="AF32" s="105" t="s">
        <v>209</v>
      </c>
      <c r="AG32" s="61">
        <f>'Var Vorgaben'!$E$184</f>
        <v>0</v>
      </c>
      <c r="AH32" s="117">
        <f>(AD32*AE32)+AG32</f>
        <v>2551.5</v>
      </c>
      <c r="AI32" s="1120">
        <f>AH32/$AH$73</f>
        <v>4.643966923865403E-2</v>
      </c>
      <c r="AJ32" s="17" t="s">
        <v>215</v>
      </c>
      <c r="AK32" s="416">
        <f>'Var Vorgaben'!$C$183</f>
        <v>1701</v>
      </c>
      <c r="AL32" s="417">
        <f>'Var Vorgaben'!$D$183*(1+Eingabeseite!$C$32)</f>
        <v>1.5</v>
      </c>
      <c r="AM32" s="105" t="s">
        <v>209</v>
      </c>
      <c r="AN32" s="61">
        <f>'Var Vorgaben'!$E$184</f>
        <v>0</v>
      </c>
      <c r="AO32" s="117">
        <f>(AK32*AL32)+AN32</f>
        <v>2551.5</v>
      </c>
      <c r="AP32" s="1225">
        <f t="shared" si="8"/>
        <v>4.5381937449870742E-2</v>
      </c>
      <c r="AQ32" s="17" t="s">
        <v>407</v>
      </c>
      <c r="AR32" s="416">
        <f>'Var Vorgaben'!$C$183</f>
        <v>1701</v>
      </c>
      <c r="AS32" s="417">
        <f>'Var Vorgaben'!$D$183*(1+Eingabeseite!$C$32)</f>
        <v>1.5</v>
      </c>
      <c r="AT32" s="105" t="s">
        <v>209</v>
      </c>
      <c r="AU32" s="61">
        <f>'Var Vorgaben'!$E$184</f>
        <v>0</v>
      </c>
      <c r="AV32" s="117">
        <f>(AR32*AS32)+AU32</f>
        <v>2551.5</v>
      </c>
      <c r="AW32" s="1225">
        <f t="shared" si="4"/>
        <v>4.6760112203905607E-2</v>
      </c>
      <c r="AX32" s="17" t="s">
        <v>402</v>
      </c>
      <c r="AY32" s="416">
        <f>'Var Vorgaben'!$C$183</f>
        <v>1701</v>
      </c>
      <c r="AZ32" s="417">
        <f>'Var Vorgaben'!$D$183*(1+Eingabeseite!$C$32)</f>
        <v>1.5</v>
      </c>
      <c r="BA32" s="105" t="s">
        <v>209</v>
      </c>
      <c r="BB32" s="61">
        <f>'Var Vorgaben'!$E$184</f>
        <v>0</v>
      </c>
      <c r="BC32" s="117">
        <f>(AY32*AZ32)+BB32</f>
        <v>2551.5</v>
      </c>
      <c r="BD32" s="611">
        <f>BC32/$BC$73</f>
        <v>4.6929895558076973E-2</v>
      </c>
      <c r="BE32" s="17" t="s">
        <v>406</v>
      </c>
      <c r="BF32" s="416">
        <f>'Var Vorgaben'!$C$183</f>
        <v>1701</v>
      </c>
      <c r="BG32" s="417">
        <f>'Var Vorgaben'!$D$183*(1+Eingabeseite!$C$32)</f>
        <v>1.5</v>
      </c>
      <c r="BH32" s="105" t="s">
        <v>209</v>
      </c>
      <c r="BI32" s="61">
        <f>'Var Vorgaben'!$E$184</f>
        <v>0</v>
      </c>
      <c r="BJ32" s="117">
        <f>(BF32*BG32)+BI32</f>
        <v>2551.5</v>
      </c>
      <c r="BK32" s="1225">
        <f t="shared" si="9"/>
        <v>2.5435454748819957E-2</v>
      </c>
      <c r="BL32" s="17" t="s">
        <v>405</v>
      </c>
      <c r="BM32" s="416">
        <f>'Var Vorgaben'!$C$183</f>
        <v>1701</v>
      </c>
      <c r="BN32" s="417">
        <f>'Var Vorgaben'!$D$183*(1+Eingabeseite!$C$32)</f>
        <v>1.5</v>
      </c>
      <c r="BO32" s="105" t="s">
        <v>209</v>
      </c>
      <c r="BP32" s="61">
        <f>'Var Vorgaben'!$E$184</f>
        <v>0</v>
      </c>
      <c r="BQ32" s="117">
        <f>(BM32*BN32)+BP32</f>
        <v>2551.5</v>
      </c>
      <c r="BR32" s="1225">
        <f t="shared" si="2"/>
        <v>4.3272702881484611E-2</v>
      </c>
      <c r="BS32" s="17" t="s">
        <v>405</v>
      </c>
      <c r="BT32" s="416">
        <f>'Var Vorgaben'!$C$183</f>
        <v>1701</v>
      </c>
      <c r="BU32" s="417">
        <f>'Var Vorgaben'!$D$183*(1+Eingabeseite!$C$32)</f>
        <v>1.5</v>
      </c>
      <c r="BV32" s="105" t="s">
        <v>209</v>
      </c>
      <c r="BW32" s="61">
        <f>'Var Vorgaben'!$E$184</f>
        <v>0</v>
      </c>
      <c r="BX32" s="117">
        <f>(BT32*BU32)+BW32</f>
        <v>2551.5</v>
      </c>
      <c r="BY32" s="611">
        <f>BX32/$BX$73</f>
        <v>4.7053397012321661E-2</v>
      </c>
      <c r="BZ32" s="17" t="s">
        <v>404</v>
      </c>
      <c r="CA32" s="416">
        <f>'Var Vorgaben'!$C$183</f>
        <v>1701</v>
      </c>
      <c r="CB32" s="417">
        <f>'Var Vorgaben'!$D$183*(1+Eingabeseite!$C$32)</f>
        <v>1.5</v>
      </c>
      <c r="CC32" s="105" t="s">
        <v>209</v>
      </c>
      <c r="CD32" s="61">
        <f>'Var Vorgaben'!$E$184</f>
        <v>0</v>
      </c>
      <c r="CE32" s="117">
        <f>(CA32*CB32)+CD32</f>
        <v>2551.5</v>
      </c>
      <c r="CF32" s="611">
        <f>CE32/$CE$73</f>
        <v>4.5973192053125299E-2</v>
      </c>
      <c r="CG32" s="17" t="s">
        <v>403</v>
      </c>
      <c r="CH32" s="416">
        <f>'Var Vorgaben'!$C$183</f>
        <v>1701</v>
      </c>
      <c r="CI32" s="417">
        <f>'Var Vorgaben'!$D$183*(1+Eingabeseite!$C$32)</f>
        <v>1.5</v>
      </c>
      <c r="CJ32" s="105" t="s">
        <v>209</v>
      </c>
      <c r="CK32" s="61">
        <f>'Var Vorgaben'!$E$184</f>
        <v>0</v>
      </c>
      <c r="CL32" s="117">
        <f>(CH32*CI32)+CK32</f>
        <v>2551.5</v>
      </c>
      <c r="CM32" s="611">
        <f>CL32/$CL$73</f>
        <v>4.7393799618444421E-2</v>
      </c>
      <c r="CN32" s="17" t="s">
        <v>401</v>
      </c>
      <c r="CO32" s="416">
        <f>'Var Vorgaben'!$C$183</f>
        <v>1701</v>
      </c>
      <c r="CP32" s="417">
        <f>'Var Vorgaben'!$D$183*(1+Eingabeseite!$C$32)</f>
        <v>1.5</v>
      </c>
      <c r="CQ32" s="105" t="s">
        <v>209</v>
      </c>
      <c r="CR32" s="61">
        <f>'Var Vorgaben'!$E$184</f>
        <v>0</v>
      </c>
      <c r="CS32" s="117">
        <f>(CO32*CP32)+CR32</f>
        <v>2551.5</v>
      </c>
      <c r="CT32" s="611">
        <f>CS32/$CS$73</f>
        <v>4.7574048318845388E-2</v>
      </c>
      <c r="CU32" s="17" t="s">
        <v>402</v>
      </c>
      <c r="CV32" s="416">
        <f>'Var Vorgaben'!$C$183</f>
        <v>1701</v>
      </c>
      <c r="CW32" s="417">
        <f>'Var Vorgaben'!$D$183*(1+Eingabeseite!$C$32)</f>
        <v>1.5</v>
      </c>
      <c r="CX32" s="105" t="s">
        <v>209</v>
      </c>
      <c r="CY32" s="61">
        <f>'Var Vorgaben'!$E$184</f>
        <v>0</v>
      </c>
      <c r="CZ32" s="117">
        <f>(CV32*CW32)+CY32</f>
        <v>2551.5</v>
      </c>
      <c r="DA32" s="611">
        <f>CZ32/$CZ$73</f>
        <v>4.6474607170367964E-2</v>
      </c>
      <c r="DB32" s="17" t="s">
        <v>402</v>
      </c>
      <c r="DC32" s="416">
        <f>'Var Vorgaben'!$C$183</f>
        <v>1701</v>
      </c>
      <c r="DD32" s="417">
        <f>'Var Vorgaben'!$D$183*(1+Eingabeseite!$C$32)</f>
        <v>1.5</v>
      </c>
      <c r="DE32" s="105" t="s">
        <v>209</v>
      </c>
      <c r="DF32" s="61">
        <f>'Var Vorgaben'!$E$184</f>
        <v>0</v>
      </c>
      <c r="DG32" s="117">
        <f>(DC32*DD32)+DF32</f>
        <v>2551.5</v>
      </c>
      <c r="DH32" s="611">
        <f>DG32/$DG$73</f>
        <v>4.307639233016286E-2</v>
      </c>
    </row>
    <row r="33" spans="1:112" ht="15" customHeight="1" thickBot="1" x14ac:dyDescent="0.25">
      <c r="A33" s="77" t="s">
        <v>163</v>
      </c>
      <c r="B33" s="78"/>
      <c r="C33" s="222"/>
      <c r="D33" s="78"/>
      <c r="E33" s="221"/>
      <c r="F33" s="1118">
        <f>600</f>
        <v>600</v>
      </c>
      <c r="G33" s="611">
        <f t="shared" si="6"/>
        <v>4.9711895276878963E-2</v>
      </c>
      <c r="H33" s="77" t="s">
        <v>163</v>
      </c>
      <c r="I33" s="78"/>
      <c r="J33" s="222"/>
      <c r="K33" s="78"/>
      <c r="L33" s="221"/>
      <c r="M33" s="156">
        <f>600</f>
        <v>600</v>
      </c>
      <c r="N33" s="611">
        <f t="shared" si="10"/>
        <v>4.9174798621629816E-2</v>
      </c>
      <c r="O33" s="77" t="s">
        <v>163</v>
      </c>
      <c r="P33" s="78"/>
      <c r="Q33" s="222"/>
      <c r="R33" s="78"/>
      <c r="S33" s="221"/>
      <c r="T33" s="156">
        <f>600</f>
        <v>600</v>
      </c>
      <c r="U33" s="1120">
        <f t="shared" si="5"/>
        <v>7.0047688473927009E-3</v>
      </c>
      <c r="V33" s="77" t="s">
        <v>163</v>
      </c>
      <c r="W33" s="78"/>
      <c r="X33" s="222"/>
      <c r="Y33" s="78"/>
      <c r="Z33" s="221"/>
      <c r="AA33" s="609">
        <f>600</f>
        <v>600</v>
      </c>
      <c r="AB33" s="1120">
        <f t="shared" si="7"/>
        <v>1.7842878175696457E-2</v>
      </c>
      <c r="AC33" s="77" t="s">
        <v>163</v>
      </c>
      <c r="AD33" s="78"/>
      <c r="AE33" s="222"/>
      <c r="AF33" s="78"/>
      <c r="AG33" s="221"/>
      <c r="AH33" s="156">
        <f>600</f>
        <v>600</v>
      </c>
      <c r="AI33" s="1120">
        <f>AH33/$AA$73</f>
        <v>1.7842878175696457E-2</v>
      </c>
      <c r="AJ33" s="77" t="s">
        <v>163</v>
      </c>
      <c r="AK33" s="78"/>
      <c r="AL33" s="222"/>
      <c r="AM33" s="78"/>
      <c r="AN33" s="221"/>
      <c r="AO33" s="156">
        <f>600</f>
        <v>600</v>
      </c>
      <c r="AP33" s="1120">
        <f t="shared" si="8"/>
        <v>1.0671825385037212E-2</v>
      </c>
      <c r="AQ33" s="77" t="s">
        <v>163</v>
      </c>
      <c r="AR33" s="78"/>
      <c r="AS33" s="222"/>
      <c r="AT33" s="78"/>
      <c r="AU33" s="221"/>
      <c r="AV33" s="156">
        <f>600</f>
        <v>600</v>
      </c>
      <c r="AW33" s="42">
        <f t="shared" si="4"/>
        <v>1.0995911159060696E-2</v>
      </c>
      <c r="AX33" s="77" t="s">
        <v>163</v>
      </c>
      <c r="AY33" s="78"/>
      <c r="AZ33" s="222"/>
      <c r="BA33" s="78"/>
      <c r="BB33" s="221"/>
      <c r="BC33" s="156">
        <f>600</f>
        <v>600</v>
      </c>
      <c r="BD33" s="42">
        <f t="shared" ref="BD33:BD34" si="11">BC33/$BC$73</f>
        <v>1.1035836697960487E-2</v>
      </c>
      <c r="BE33" s="77" t="s">
        <v>163</v>
      </c>
      <c r="BF33" s="78"/>
      <c r="BG33" s="222"/>
      <c r="BH33" s="78"/>
      <c r="BI33" s="221"/>
      <c r="BJ33" s="156">
        <f>600</f>
        <v>600</v>
      </c>
      <c r="BK33" s="42">
        <f t="shared" si="9"/>
        <v>5.9812944735614243E-3</v>
      </c>
      <c r="BL33" s="77" t="s">
        <v>163</v>
      </c>
      <c r="BM33" s="78"/>
      <c r="BN33" s="222"/>
      <c r="BO33" s="78"/>
      <c r="BP33" s="221"/>
      <c r="BQ33" s="156">
        <f>600</f>
        <v>600</v>
      </c>
      <c r="BR33" s="42">
        <f t="shared" si="2"/>
        <v>1.0175826662312665E-2</v>
      </c>
      <c r="BS33" s="77" t="s">
        <v>163</v>
      </c>
      <c r="BT33" s="78"/>
      <c r="BU33" s="222"/>
      <c r="BV33" s="78"/>
      <c r="BW33" s="221"/>
      <c r="BX33" s="156">
        <f>600</f>
        <v>600</v>
      </c>
      <c r="BY33" s="42">
        <f t="shared" ref="BY33:BY35" si="12">BX33/$BX$73</f>
        <v>1.1064878780087398E-2</v>
      </c>
      <c r="BZ33" s="77" t="s">
        <v>163</v>
      </c>
      <c r="CA33" s="78"/>
      <c r="CB33" s="222"/>
      <c r="CC33" s="78"/>
      <c r="CD33" s="221"/>
      <c r="CE33" s="156">
        <f>600</f>
        <v>600</v>
      </c>
      <c r="CF33" s="42">
        <f t="shared" ref="CF33:CF35" si="13">CE33/$CE$73</f>
        <v>1.081086232877726E-2</v>
      </c>
      <c r="CG33" s="77" t="s">
        <v>163</v>
      </c>
      <c r="CH33" s="78"/>
      <c r="CI33" s="222"/>
      <c r="CJ33" s="78"/>
      <c r="CK33" s="221"/>
      <c r="CL33" s="156">
        <f>600</f>
        <v>600</v>
      </c>
      <c r="CM33" s="42">
        <f t="shared" ref="CM33:CM35" si="14">CL33/$CL$73</f>
        <v>1.1144926424090399E-2</v>
      </c>
      <c r="CN33" s="77" t="s">
        <v>163</v>
      </c>
      <c r="CO33" s="78"/>
      <c r="CP33" s="222"/>
      <c r="CQ33" s="78"/>
      <c r="CR33" s="221"/>
      <c r="CS33" s="156">
        <f>600</f>
        <v>600</v>
      </c>
      <c r="CT33" s="42">
        <f t="shared" ref="CT33:CT35" si="15">CS33/$CS$73</f>
        <v>1.1187312949757881E-2</v>
      </c>
      <c r="CU33" s="77" t="s">
        <v>163</v>
      </c>
      <c r="CV33" s="78"/>
      <c r="CW33" s="222"/>
      <c r="CX33" s="78"/>
      <c r="CY33" s="221"/>
      <c r="CZ33" s="156">
        <f>600</f>
        <v>600</v>
      </c>
      <c r="DA33" s="42">
        <f t="shared" ref="DA33:DA35" si="16">CZ33/$CZ$73</f>
        <v>1.0928772997147082E-2</v>
      </c>
      <c r="DB33" s="77" t="s">
        <v>163</v>
      </c>
      <c r="DC33" s="78"/>
      <c r="DD33" s="222"/>
      <c r="DE33" s="78"/>
      <c r="DF33" s="221"/>
      <c r="DG33" s="156">
        <f>600</f>
        <v>600</v>
      </c>
      <c r="DH33" s="42">
        <f t="shared" ref="DH33:DH35" si="17">DG33/$DG$73</f>
        <v>1.012966309939162E-2</v>
      </c>
    </row>
    <row r="34" spans="1:112" ht="15" customHeight="1" thickBot="1" x14ac:dyDescent="0.25">
      <c r="A34" s="77" t="str">
        <f>'Var Vorgaben'!$A$192</f>
        <v>Frostbekämpfung - Forstversicherung</v>
      </c>
      <c r="B34" s="78"/>
      <c r="C34" s="222"/>
      <c r="D34" s="78"/>
      <c r="E34" s="221"/>
      <c r="F34" s="1118">
        <v>0</v>
      </c>
      <c r="G34" s="611">
        <f t="shared" si="6"/>
        <v>0</v>
      </c>
      <c r="H34" s="77" t="str">
        <f>'Var Vorgaben'!$A$192</f>
        <v>Frostbekämpfung - Forstversicherung</v>
      </c>
      <c r="I34" s="78"/>
      <c r="J34" s="222"/>
      <c r="K34" s="78"/>
      <c r="L34" s="221"/>
      <c r="M34" s="1118">
        <v>0</v>
      </c>
      <c r="N34" s="611">
        <f t="shared" si="10"/>
        <v>0</v>
      </c>
      <c r="O34" s="77" t="str">
        <f>'Var Vorgaben'!$A$192</f>
        <v>Frostbekämpfung - Forstversicherung</v>
      </c>
      <c r="P34" s="78"/>
      <c r="Q34" s="222"/>
      <c r="R34" s="78"/>
      <c r="S34" s="221"/>
      <c r="T34" s="1118">
        <v>0</v>
      </c>
      <c r="U34" s="1120">
        <f t="shared" si="5"/>
        <v>0</v>
      </c>
      <c r="V34" s="77" t="str">
        <f>'Var Vorgaben'!$A$192</f>
        <v>Frostbekämpfung - Forstversicherung</v>
      </c>
      <c r="W34" s="78"/>
      <c r="X34" s="222"/>
      <c r="Y34" s="78"/>
      <c r="Z34" s="221"/>
      <c r="AA34" s="1118">
        <v>0</v>
      </c>
      <c r="AB34" s="1120">
        <f t="shared" si="7"/>
        <v>0</v>
      </c>
      <c r="AC34" s="77" t="str">
        <f>'Var Vorgaben'!$A$192</f>
        <v>Frostbekämpfung - Forstversicherung</v>
      </c>
      <c r="AD34" s="78"/>
      <c r="AE34" s="222"/>
      <c r="AF34" s="78"/>
      <c r="AG34" s="221"/>
      <c r="AH34" s="1118">
        <f>'Var Vorgaben'!$B$192</f>
        <v>5000</v>
      </c>
      <c r="AI34" s="1120">
        <f>AH34/$AA$73</f>
        <v>0.14869065146413712</v>
      </c>
      <c r="AJ34" s="77" t="str">
        <f>'Var Vorgaben'!$A$192</f>
        <v>Frostbekämpfung - Forstversicherung</v>
      </c>
      <c r="AK34" s="78"/>
      <c r="AL34" s="222"/>
      <c r="AM34" s="78"/>
      <c r="AN34" s="221"/>
      <c r="AO34" s="1118">
        <f>'Var Vorgaben'!$B$192</f>
        <v>5000</v>
      </c>
      <c r="AP34" s="1120">
        <f t="shared" si="8"/>
        <v>8.8931878208643442E-2</v>
      </c>
      <c r="AQ34" s="77" t="str">
        <f>'Var Vorgaben'!$A$192</f>
        <v>Frostbekämpfung - Forstversicherung</v>
      </c>
      <c r="AR34" s="78"/>
      <c r="AS34" s="222"/>
      <c r="AT34" s="78"/>
      <c r="AU34" s="221"/>
      <c r="AV34" s="1118">
        <f>'Var Vorgaben'!$B$192</f>
        <v>5000</v>
      </c>
      <c r="AW34" s="42">
        <f t="shared" si="4"/>
        <v>9.1632592992172468E-2</v>
      </c>
      <c r="AX34" s="77" t="str">
        <f>'Var Vorgaben'!$A$192</f>
        <v>Frostbekämpfung - Forstversicherung</v>
      </c>
      <c r="AY34" s="78"/>
      <c r="AZ34" s="222"/>
      <c r="BA34" s="78"/>
      <c r="BB34" s="221"/>
      <c r="BC34" s="1118">
        <f>'Var Vorgaben'!$B$192</f>
        <v>5000</v>
      </c>
      <c r="BD34" s="42">
        <f t="shared" si="11"/>
        <v>9.1965305816337384E-2</v>
      </c>
      <c r="BE34" s="77" t="str">
        <f>'Var Vorgaben'!$A$192</f>
        <v>Frostbekämpfung - Forstversicherung</v>
      </c>
      <c r="BF34" s="78"/>
      <c r="BG34" s="222"/>
      <c r="BH34" s="78"/>
      <c r="BI34" s="221"/>
      <c r="BJ34" s="1118">
        <f>'Var Vorgaben'!$B$192</f>
        <v>5000</v>
      </c>
      <c r="BK34" s="42">
        <f t="shared" si="9"/>
        <v>4.9844120613011869E-2</v>
      </c>
      <c r="BL34" s="77" t="str">
        <f>'Var Vorgaben'!$A$192</f>
        <v>Frostbekämpfung - Forstversicherung</v>
      </c>
      <c r="BM34" s="78"/>
      <c r="BN34" s="222"/>
      <c r="BO34" s="78"/>
      <c r="BP34" s="221"/>
      <c r="BQ34" s="1118">
        <f>'Var Vorgaben'!$B$192</f>
        <v>5000</v>
      </c>
      <c r="BR34" s="42">
        <f t="shared" si="2"/>
        <v>8.4798555519272206E-2</v>
      </c>
      <c r="BS34" s="77" t="str">
        <f>'Var Vorgaben'!$A$192</f>
        <v>Frostbekämpfung - Forstversicherung</v>
      </c>
      <c r="BT34" s="78"/>
      <c r="BU34" s="222"/>
      <c r="BV34" s="78"/>
      <c r="BW34" s="221"/>
      <c r="BX34" s="1118">
        <f>'Var Vorgaben'!$B$192</f>
        <v>5000</v>
      </c>
      <c r="BY34" s="42">
        <f t="shared" si="12"/>
        <v>9.2207323167394981E-2</v>
      </c>
      <c r="BZ34" s="77" t="str">
        <f>'Var Vorgaben'!$A$192</f>
        <v>Frostbekämpfung - Forstversicherung</v>
      </c>
      <c r="CA34" s="78"/>
      <c r="CB34" s="222"/>
      <c r="CC34" s="78"/>
      <c r="CD34" s="221"/>
      <c r="CE34" s="1118">
        <f>'Var Vorgaben'!$B$192</f>
        <v>5000</v>
      </c>
      <c r="CF34" s="42">
        <f t="shared" si="13"/>
        <v>9.0090519406477165E-2</v>
      </c>
      <c r="CG34" s="77" t="str">
        <f>'Var Vorgaben'!$A$192</f>
        <v>Frostbekämpfung - Forstversicherung</v>
      </c>
      <c r="CH34" s="78"/>
      <c r="CI34" s="222"/>
      <c r="CJ34" s="78"/>
      <c r="CK34" s="221"/>
      <c r="CL34" s="1118">
        <f>'Var Vorgaben'!$B$192</f>
        <v>5000</v>
      </c>
      <c r="CM34" s="42">
        <f t="shared" si="14"/>
        <v>9.287438686742E-2</v>
      </c>
      <c r="CN34" s="77" t="str">
        <f>'Var Vorgaben'!$A$192</f>
        <v>Frostbekämpfung - Forstversicherung</v>
      </c>
      <c r="CO34" s="78"/>
      <c r="CP34" s="222"/>
      <c r="CQ34" s="78"/>
      <c r="CR34" s="221"/>
      <c r="CS34" s="1118">
        <f>'Var Vorgaben'!$B$192</f>
        <v>5000</v>
      </c>
      <c r="CT34" s="42">
        <f t="shared" si="15"/>
        <v>9.3227607914649013E-2</v>
      </c>
      <c r="CU34" s="77" t="str">
        <f>'Var Vorgaben'!$A$192</f>
        <v>Frostbekämpfung - Forstversicherung</v>
      </c>
      <c r="CV34" s="78"/>
      <c r="CW34" s="222"/>
      <c r="CX34" s="78"/>
      <c r="CY34" s="221"/>
      <c r="CZ34" s="1118">
        <f>'Var Vorgaben'!$B$192</f>
        <v>5000</v>
      </c>
      <c r="DA34" s="42">
        <f t="shared" si="16"/>
        <v>9.1073108309559017E-2</v>
      </c>
      <c r="DB34" s="77" t="str">
        <f>'Var Vorgaben'!$A$192</f>
        <v>Frostbekämpfung - Forstversicherung</v>
      </c>
      <c r="DC34" s="78"/>
      <c r="DD34" s="222"/>
      <c r="DE34" s="78"/>
      <c r="DF34" s="221"/>
      <c r="DG34" s="1118">
        <f>'Var Vorgaben'!$B$192</f>
        <v>5000</v>
      </c>
      <c r="DH34" s="42">
        <f t="shared" si="17"/>
        <v>8.4413859161596827E-2</v>
      </c>
    </row>
    <row r="35" spans="1:112" s="805" customFormat="1" ht="18.75" customHeight="1" thickBot="1" x14ac:dyDescent="0.25">
      <c r="A35" s="549" t="s">
        <v>326</v>
      </c>
      <c r="B35" s="550"/>
      <c r="C35" s="555"/>
      <c r="D35" s="555"/>
      <c r="E35" s="556"/>
      <c r="F35" s="1122">
        <f>F33+F32+F24+F31+F25+F22+F17+F34+F26+F27</f>
        <v>2551.6857333333332</v>
      </c>
      <c r="G35" s="1119">
        <f>G33+G23+G24+G32+G31+G25+G17+G34</f>
        <v>0.13960757256923509</v>
      </c>
      <c r="H35" s="549" t="s">
        <v>326</v>
      </c>
      <c r="I35" s="550"/>
      <c r="J35" s="555"/>
      <c r="K35" s="555"/>
      <c r="L35" s="556"/>
      <c r="M35" s="1122">
        <f>M33+M32+M24+M31+M25+M22+M17+M34+M26+M27</f>
        <v>2704.1857333333332</v>
      </c>
      <c r="N35" s="1119">
        <f>N33+N23+N24+N32+N31+N25+N17+N34</f>
        <v>0.15059782077874131</v>
      </c>
      <c r="O35" s="549" t="s">
        <v>326</v>
      </c>
      <c r="P35" s="550"/>
      <c r="Q35" s="555"/>
      <c r="R35" s="555"/>
      <c r="S35" s="556"/>
      <c r="T35" s="1122">
        <f>T33+T32+T24+T31+T25+T22+T17+T34+T26+T27</f>
        <v>60049.042645833339</v>
      </c>
      <c r="U35" s="1119">
        <f>U33+U23+U24+U32+U31+U25+U17+U34</f>
        <v>0.54536803315097115</v>
      </c>
      <c r="V35" s="549" t="s">
        <v>326</v>
      </c>
      <c r="W35" s="550"/>
      <c r="X35" s="555"/>
      <c r="Y35" s="555"/>
      <c r="Z35" s="556"/>
      <c r="AA35" s="1122">
        <f>AA33+AA32+AA24+AA31+AA25+AA22+AA17+AA34+AA26+AA27</f>
        <v>8120.2592416666657</v>
      </c>
      <c r="AB35" s="1119">
        <f>AB33+AB23+AB24+AB32+AB31+AB25+AB17+AB34</f>
        <v>0.16416048755781532</v>
      </c>
      <c r="AC35" s="549" t="s">
        <v>326</v>
      </c>
      <c r="AD35" s="550"/>
      <c r="AE35" s="555"/>
      <c r="AF35" s="555"/>
      <c r="AG35" s="556"/>
      <c r="AH35" s="1122">
        <f>AH33+AH32+AH24+AH31+AH25+AH22+AH17+AH34+AH26+AH27</f>
        <v>14266.074999999999</v>
      </c>
      <c r="AI35" s="1119">
        <f>AI33+AI23+AI24+AI32+AI31+AI25+AI17+AI34</f>
        <v>0.29040495425778406</v>
      </c>
      <c r="AJ35" s="549" t="s">
        <v>326</v>
      </c>
      <c r="AK35" s="550"/>
      <c r="AL35" s="555"/>
      <c r="AM35" s="555"/>
      <c r="AN35" s="556"/>
      <c r="AO35" s="1122">
        <f>AO33+AO32+AO24+AO31+AO25+AO22+AO17+AO34+AO26+AO27</f>
        <v>14366.074999999999</v>
      </c>
      <c r="AP35" s="1225">
        <f t="shared" si="8"/>
        <v>0.25552040644724744</v>
      </c>
      <c r="AQ35" s="549" t="s">
        <v>326</v>
      </c>
      <c r="AR35" s="550"/>
      <c r="AS35" s="555"/>
      <c r="AT35" s="555"/>
      <c r="AU35" s="556"/>
      <c r="AV35" s="1122">
        <f>AV33+AV32+AV24+AV31+AV25+AV22+AV17+AV34+AV26+AV27</f>
        <v>14266.074999999999</v>
      </c>
      <c r="AW35" s="1225">
        <f t="shared" si="4"/>
        <v>0.26144748881416136</v>
      </c>
      <c r="AX35" s="549" t="s">
        <v>326</v>
      </c>
      <c r="AY35" s="550"/>
      <c r="AZ35" s="555"/>
      <c r="BA35" s="555"/>
      <c r="BB35" s="556"/>
      <c r="BC35" s="1122">
        <f>BC33+BC32+BC24+BC31+BC25+BC22+BC17+BC34+BC26+BC27</f>
        <v>14266.074999999999</v>
      </c>
      <c r="BD35" s="611">
        <f>BC35/$BC$73</f>
        <v>0.26239679003476107</v>
      </c>
      <c r="BE35" s="549" t="s">
        <v>326</v>
      </c>
      <c r="BF35" s="550"/>
      <c r="BG35" s="555"/>
      <c r="BH35" s="555"/>
      <c r="BI35" s="556"/>
      <c r="BJ35" s="1122">
        <f>BJ33+BJ32+BJ24+BJ31+BJ25+BJ22+BJ17+BJ34+BJ26+BJ27</f>
        <v>56136.887900000002</v>
      </c>
      <c r="BK35" s="1225">
        <f t="shared" si="9"/>
        <v>0.55961876226534535</v>
      </c>
      <c r="BL35" s="549" t="s">
        <v>326</v>
      </c>
      <c r="BM35" s="550"/>
      <c r="BN35" s="555"/>
      <c r="BO35" s="555"/>
      <c r="BP35" s="556"/>
      <c r="BQ35" s="1122">
        <f>BQ33+BQ32+BQ24+BQ31+BQ25+BQ22+BQ17+BQ34+BQ26+BQ27</f>
        <v>17736.084999999999</v>
      </c>
      <c r="BR35" s="1225">
        <f t="shared" si="2"/>
        <v>0.30079887771340619</v>
      </c>
      <c r="BS35" s="549" t="s">
        <v>326</v>
      </c>
      <c r="BT35" s="550"/>
      <c r="BU35" s="555"/>
      <c r="BV35" s="555"/>
      <c r="BW35" s="556"/>
      <c r="BX35" s="1122">
        <f>BX33+BX32+BX24+BX31+BX25+BX22+BX17+BX34+BX26+BX27</f>
        <v>14266.074999999999</v>
      </c>
      <c r="BY35" s="1225">
        <f t="shared" si="12"/>
        <v>0.26308731757105885</v>
      </c>
      <c r="BZ35" s="549" t="s">
        <v>326</v>
      </c>
      <c r="CA35" s="550"/>
      <c r="CB35" s="555"/>
      <c r="CC35" s="555"/>
      <c r="CD35" s="556"/>
      <c r="CE35" s="1122">
        <f>CE33+CE32+CE24+CE31+CE25+CE22+CE17+CE34+CE26+CE27</f>
        <v>14366.074999999999</v>
      </c>
      <c r="CF35" s="1225">
        <f t="shared" si="13"/>
        <v>0.25884943171648128</v>
      </c>
      <c r="CG35" s="549" t="s">
        <v>326</v>
      </c>
      <c r="CH35" s="550"/>
      <c r="CI35" s="555"/>
      <c r="CJ35" s="555"/>
      <c r="CK35" s="556"/>
      <c r="CL35" s="1122">
        <f>CL33+CL32+CL24+CL31+CL25+CL22+CL17+CL34+CL26+CL27</f>
        <v>14266.074999999999</v>
      </c>
      <c r="CM35" s="1225">
        <f t="shared" si="14"/>
        <v>0.2649905937259257</v>
      </c>
      <c r="CN35" s="549" t="s">
        <v>326</v>
      </c>
      <c r="CO35" s="550"/>
      <c r="CP35" s="555"/>
      <c r="CQ35" s="555"/>
      <c r="CR35" s="556"/>
      <c r="CS35" s="1122">
        <f>CS33+CS32+CS24+CS31+CS25+CS22+CS17+CS34+CS26+CS27</f>
        <v>14266.074999999999</v>
      </c>
      <c r="CT35" s="1225">
        <f t="shared" si="15"/>
        <v>0.26599840931619523</v>
      </c>
      <c r="CU35" s="549" t="s">
        <v>326</v>
      </c>
      <c r="CV35" s="550"/>
      <c r="CW35" s="555"/>
      <c r="CX35" s="555"/>
      <c r="CY35" s="556"/>
      <c r="CZ35" s="1122">
        <f>CZ33+CZ32+CZ24+CZ31+CZ25+CZ22+CZ17+CZ34+CZ26+CZ27</f>
        <v>14366.074999999999</v>
      </c>
      <c r="DA35" s="1225">
        <f t="shared" si="16"/>
        <v>0.26167262089164961</v>
      </c>
      <c r="DB35" s="549" t="s">
        <v>326</v>
      </c>
      <c r="DC35" s="550"/>
      <c r="DD35" s="555"/>
      <c r="DE35" s="555"/>
      <c r="DF35" s="556"/>
      <c r="DG35" s="1122">
        <f>DG33+DG32+DG24+DG31+DG25+DG22+DG17+DG34+DG26+DG27</f>
        <v>14266.074999999999</v>
      </c>
      <c r="DH35" s="1225">
        <f t="shared" si="17"/>
        <v>0.24085088916775549</v>
      </c>
    </row>
    <row r="36" spans="1:112" ht="18.75" customHeight="1" x14ac:dyDescent="0.2">
      <c r="A36" s="17" t="s">
        <v>103</v>
      </c>
      <c r="B36"/>
      <c r="C36" s="109" t="s">
        <v>66</v>
      </c>
      <c r="D36" s="145">
        <v>10</v>
      </c>
      <c r="E36" s="92">
        <v>21</v>
      </c>
      <c r="F36" s="79">
        <f>D36*E36</f>
        <v>210</v>
      </c>
      <c r="G36" s="611">
        <f>F36/$F$73</f>
        <v>1.7399163346907637E-2</v>
      </c>
      <c r="H36" s="17" t="s">
        <v>103</v>
      </c>
      <c r="I36"/>
      <c r="J36" s="1357" t="s">
        <v>66</v>
      </c>
      <c r="K36" s="145">
        <v>10</v>
      </c>
      <c r="L36" s="61">
        <f>$E$36</f>
        <v>21</v>
      </c>
      <c r="M36" s="79">
        <f>K36*L36*0.5</f>
        <v>105</v>
      </c>
      <c r="N36" s="611">
        <f>M36/$M$73</f>
        <v>8.605589758785219E-3</v>
      </c>
      <c r="O36" s="17" t="s">
        <v>103</v>
      </c>
      <c r="Q36" s="1357" t="s">
        <v>66</v>
      </c>
      <c r="R36" s="145">
        <v>10</v>
      </c>
      <c r="S36" s="61">
        <f>$E$36</f>
        <v>21</v>
      </c>
      <c r="T36" s="79">
        <f>R36*S36</f>
        <v>210</v>
      </c>
      <c r="U36" s="611">
        <f>T36/$T$73</f>
        <v>2.4516690965874456E-3</v>
      </c>
      <c r="V36" s="17" t="s">
        <v>103</v>
      </c>
      <c r="X36" s="1357" t="s">
        <v>66</v>
      </c>
      <c r="Y36" s="145">
        <v>10</v>
      </c>
      <c r="Z36" s="61">
        <f>$E$36</f>
        <v>21</v>
      </c>
      <c r="AA36" s="79">
        <f>Y36*Z36</f>
        <v>210</v>
      </c>
      <c r="AB36" s="611">
        <f>AA36/$AA$73</f>
        <v>6.2450073614937597E-3</v>
      </c>
      <c r="AC36" s="17" t="s">
        <v>103</v>
      </c>
      <c r="AE36" s="1357" t="s">
        <v>66</v>
      </c>
      <c r="AF36" s="145">
        <v>10</v>
      </c>
      <c r="AG36" s="61">
        <f>$E$36</f>
        <v>21</v>
      </c>
      <c r="AH36" s="79">
        <f>AF36*AG36</f>
        <v>210</v>
      </c>
      <c r="AI36" s="611">
        <f>AH36/$AH$73</f>
        <v>3.8221949990661754E-3</v>
      </c>
      <c r="AJ36" s="17" t="s">
        <v>103</v>
      </c>
      <c r="AL36" s="1357" t="s">
        <v>66</v>
      </c>
      <c r="AM36" s="145">
        <v>10</v>
      </c>
      <c r="AN36" s="61">
        <f>$E$36</f>
        <v>21</v>
      </c>
      <c r="AO36" s="79">
        <f>AM36*AN36</f>
        <v>210</v>
      </c>
      <c r="AP36" s="611">
        <f>AO36/$AO$73</f>
        <v>3.7351388847630244E-3</v>
      </c>
      <c r="AQ36" s="17" t="s">
        <v>103</v>
      </c>
      <c r="AS36" s="1357" t="s">
        <v>66</v>
      </c>
      <c r="AT36" s="145">
        <v>10</v>
      </c>
      <c r="AU36" s="61">
        <f>$E$36</f>
        <v>21</v>
      </c>
      <c r="AV36" s="79">
        <f>AT36*AU36</f>
        <v>210</v>
      </c>
      <c r="AW36" s="611">
        <f>AV36/$AV$73</f>
        <v>3.8485689056712434E-3</v>
      </c>
      <c r="AX36" s="17" t="s">
        <v>103</v>
      </c>
      <c r="AZ36" s="1357" t="s">
        <v>66</v>
      </c>
      <c r="BA36" s="145">
        <v>10</v>
      </c>
      <c r="BB36" s="61">
        <f>$E$36</f>
        <v>21</v>
      </c>
      <c r="BC36" s="79">
        <f>BA36*BB36</f>
        <v>210</v>
      </c>
      <c r="BD36" s="611">
        <f>BC36/$BC$73</f>
        <v>3.8625428442861705E-3</v>
      </c>
      <c r="BE36" s="17" t="s">
        <v>103</v>
      </c>
      <c r="BG36" s="1357" t="s">
        <v>66</v>
      </c>
      <c r="BH36" s="145">
        <v>10</v>
      </c>
      <c r="BI36" s="61">
        <f>$E$36</f>
        <v>21</v>
      </c>
      <c r="BJ36" s="79">
        <f>BH36*BI36</f>
        <v>210</v>
      </c>
      <c r="BK36" s="611">
        <f>BJ36/$BJ$73</f>
        <v>2.0934530657464984E-3</v>
      </c>
      <c r="BL36" s="17" t="s">
        <v>103</v>
      </c>
      <c r="BN36" s="1357" t="s">
        <v>66</v>
      </c>
      <c r="BO36" s="145">
        <v>10</v>
      </c>
      <c r="BP36" s="61">
        <f>$E$36</f>
        <v>21</v>
      </c>
      <c r="BQ36" s="79">
        <f>BO36*BP36</f>
        <v>210</v>
      </c>
      <c r="BR36" s="611">
        <f>BQ36/$BQ$73</f>
        <v>3.5615393318094331E-3</v>
      </c>
      <c r="BS36" s="17" t="s">
        <v>103</v>
      </c>
      <c r="BU36" s="1357" t="s">
        <v>66</v>
      </c>
      <c r="BV36" s="145">
        <v>10</v>
      </c>
      <c r="BW36" s="61">
        <f>$E$36</f>
        <v>21</v>
      </c>
      <c r="BX36" s="79">
        <f>BV36*BW36</f>
        <v>210</v>
      </c>
      <c r="BY36" s="611">
        <f>BX36/$BX$73</f>
        <v>3.8727075730305891E-3</v>
      </c>
      <c r="BZ36" s="17" t="s">
        <v>103</v>
      </c>
      <c r="CB36" s="1357" t="s">
        <v>66</v>
      </c>
      <c r="CC36" s="145">
        <v>10</v>
      </c>
      <c r="CD36" s="61">
        <f>$E$36</f>
        <v>21</v>
      </c>
      <c r="CE36" s="79">
        <f>CC36*CD36</f>
        <v>210</v>
      </c>
      <c r="CF36" s="611">
        <f>CE36/$CE$73</f>
        <v>3.7838018150720409E-3</v>
      </c>
      <c r="CG36" s="17" t="s">
        <v>103</v>
      </c>
      <c r="CI36" s="1357" t="s">
        <v>66</v>
      </c>
      <c r="CJ36" s="145">
        <v>10</v>
      </c>
      <c r="CK36" s="61">
        <f>$E$36</f>
        <v>21</v>
      </c>
      <c r="CL36" s="79">
        <f>CJ36*CK36</f>
        <v>210</v>
      </c>
      <c r="CM36" s="611">
        <f>CL36/$CL$73</f>
        <v>3.9007242484316398E-3</v>
      </c>
      <c r="CN36" s="17" t="s">
        <v>103</v>
      </c>
      <c r="CP36" s="1357" t="s">
        <v>66</v>
      </c>
      <c r="CQ36" s="145">
        <v>10</v>
      </c>
      <c r="CR36" s="61">
        <f>$E$36</f>
        <v>21</v>
      </c>
      <c r="CS36" s="79">
        <f>CQ36*CR36</f>
        <v>210</v>
      </c>
      <c r="CT36" s="611">
        <f>CS36/$CS$73</f>
        <v>3.9155595324152585E-3</v>
      </c>
      <c r="CU36" s="17" t="s">
        <v>103</v>
      </c>
      <c r="CW36" s="1357" t="s">
        <v>66</v>
      </c>
      <c r="CX36" s="145">
        <v>10</v>
      </c>
      <c r="CY36" s="61">
        <f>$E$36</f>
        <v>21</v>
      </c>
      <c r="CZ36" s="79">
        <f>CX36*CY36</f>
        <v>210</v>
      </c>
      <c r="DA36" s="611">
        <f>CZ36/$CZ$73</f>
        <v>3.8250705490014787E-3</v>
      </c>
      <c r="DB36" s="17" t="s">
        <v>103</v>
      </c>
      <c r="DD36" s="1357" t="s">
        <v>66</v>
      </c>
      <c r="DE36" s="145">
        <v>10</v>
      </c>
      <c r="DF36" s="61">
        <f>$E$36</f>
        <v>21</v>
      </c>
      <c r="DG36" s="79">
        <f>DE36*DF36</f>
        <v>210</v>
      </c>
      <c r="DH36" s="611">
        <f>DG36/$DG$73</f>
        <v>3.5453820847870668E-3</v>
      </c>
    </row>
    <row r="37" spans="1:112" ht="17.45" customHeight="1" x14ac:dyDescent="0.2">
      <c r="A37"/>
      <c r="B37"/>
      <c r="C37" s="48" t="s">
        <v>18</v>
      </c>
      <c r="D37" s="119" t="s">
        <v>24</v>
      </c>
      <c r="E37" s="10" t="s">
        <v>67</v>
      </c>
      <c r="F37" s="120" t="s">
        <v>26</v>
      </c>
      <c r="G37" s="42"/>
      <c r="H37"/>
      <c r="I37"/>
      <c r="J37" s="48" t="s">
        <v>18</v>
      </c>
      <c r="K37" s="119" t="s">
        <v>24</v>
      </c>
      <c r="L37" s="10" t="s">
        <v>67</v>
      </c>
      <c r="M37" s="120" t="s">
        <v>26</v>
      </c>
      <c r="N37" s="42"/>
      <c r="Q37" s="48" t="s">
        <v>18</v>
      </c>
      <c r="R37" s="119" t="s">
        <v>24</v>
      </c>
      <c r="S37" s="10" t="s">
        <v>67</v>
      </c>
      <c r="T37" s="120" t="s">
        <v>26</v>
      </c>
      <c r="U37" s="42"/>
      <c r="X37" s="48" t="s">
        <v>18</v>
      </c>
      <c r="Y37" s="119" t="s">
        <v>24</v>
      </c>
      <c r="Z37" s="10" t="s">
        <v>67</v>
      </c>
      <c r="AA37" s="120" t="s">
        <v>26</v>
      </c>
      <c r="AB37" s="42"/>
      <c r="AE37" s="48" t="s">
        <v>18</v>
      </c>
      <c r="AF37" s="119" t="s">
        <v>24</v>
      </c>
      <c r="AG37" s="10" t="s">
        <v>67</v>
      </c>
      <c r="AH37" s="120" t="s">
        <v>26</v>
      </c>
      <c r="AI37" s="42"/>
      <c r="AL37" s="48" t="s">
        <v>18</v>
      </c>
      <c r="AM37" s="119" t="s">
        <v>24</v>
      </c>
      <c r="AN37" s="10" t="s">
        <v>67</v>
      </c>
      <c r="AO37" s="120" t="s">
        <v>26</v>
      </c>
      <c r="AP37" s="42"/>
      <c r="AS37" s="48" t="s">
        <v>18</v>
      </c>
      <c r="AT37" s="119" t="s">
        <v>24</v>
      </c>
      <c r="AU37" s="10" t="s">
        <v>67</v>
      </c>
      <c r="AV37" s="120" t="s">
        <v>26</v>
      </c>
      <c r="AW37" s="42"/>
      <c r="AZ37" s="48" t="s">
        <v>18</v>
      </c>
      <c r="BA37" s="119" t="s">
        <v>24</v>
      </c>
      <c r="BB37" s="10" t="s">
        <v>67</v>
      </c>
      <c r="BC37" s="120" t="s">
        <v>26</v>
      </c>
      <c r="BD37" s="42"/>
      <c r="BG37" s="48" t="s">
        <v>18</v>
      </c>
      <c r="BH37" s="119" t="s">
        <v>24</v>
      </c>
      <c r="BI37" s="10" t="s">
        <v>67</v>
      </c>
      <c r="BJ37" s="120" t="s">
        <v>26</v>
      </c>
      <c r="BK37" s="42"/>
      <c r="BN37" s="48" t="s">
        <v>18</v>
      </c>
      <c r="BO37" s="119" t="s">
        <v>24</v>
      </c>
      <c r="BP37" s="10" t="s">
        <v>67</v>
      </c>
      <c r="BQ37" s="120" t="s">
        <v>26</v>
      </c>
      <c r="BR37" s="42"/>
      <c r="BU37" s="48" t="s">
        <v>18</v>
      </c>
      <c r="BV37" s="119" t="s">
        <v>24</v>
      </c>
      <c r="BW37" s="10" t="s">
        <v>67</v>
      </c>
      <c r="BX37" s="120" t="s">
        <v>26</v>
      </c>
      <c r="BY37" s="42"/>
      <c r="CB37" s="48" t="s">
        <v>18</v>
      </c>
      <c r="CC37" s="119" t="s">
        <v>24</v>
      </c>
      <c r="CD37" s="10" t="s">
        <v>67</v>
      </c>
      <c r="CE37" s="120" t="s">
        <v>26</v>
      </c>
      <c r="CF37" s="42"/>
      <c r="CI37" s="48" t="s">
        <v>18</v>
      </c>
      <c r="CJ37" s="119" t="s">
        <v>24</v>
      </c>
      <c r="CK37" s="10" t="s">
        <v>67</v>
      </c>
      <c r="CL37" s="120" t="s">
        <v>26</v>
      </c>
      <c r="CM37" s="42"/>
      <c r="CP37" s="48" t="s">
        <v>18</v>
      </c>
      <c r="CQ37" s="119" t="s">
        <v>24</v>
      </c>
      <c r="CR37" s="10" t="s">
        <v>67</v>
      </c>
      <c r="CS37" s="120" t="s">
        <v>26</v>
      </c>
      <c r="CT37" s="42"/>
      <c r="CW37" s="48" t="s">
        <v>18</v>
      </c>
      <c r="CX37" s="119" t="s">
        <v>24</v>
      </c>
      <c r="CY37" s="10" t="s">
        <v>67</v>
      </c>
      <c r="CZ37" s="120" t="s">
        <v>26</v>
      </c>
      <c r="DA37" s="42"/>
      <c r="DD37" s="48" t="s">
        <v>18</v>
      </c>
      <c r="DE37" s="119" t="s">
        <v>24</v>
      </c>
      <c r="DF37" s="10" t="s">
        <v>67</v>
      </c>
      <c r="DG37" s="120" t="s">
        <v>26</v>
      </c>
      <c r="DH37" s="42"/>
    </row>
    <row r="38" spans="1:112" x14ac:dyDescent="0.2">
      <c r="A38" s="17" t="s">
        <v>119</v>
      </c>
      <c r="B38" s="20" t="str">
        <f>'Var Vorgaben'!$B$160</f>
        <v>Rückensprühgerät, 25 l, Benzin</v>
      </c>
      <c r="C38" s="351">
        <f>'Var Vorgaben'!B121</f>
        <v>9</v>
      </c>
      <c r="D38" s="46">
        <f>'Var Vorgaben'!$C$160</f>
        <v>1.5</v>
      </c>
      <c r="E38" s="61">
        <f>'Var Vorgaben'!$D$160*(1+Eingabeseite!$C$24)</f>
        <v>16</v>
      </c>
      <c r="F38" s="43">
        <f>C38*D38*E38</f>
        <v>216</v>
      </c>
      <c r="G38" s="42">
        <f>F38/$F$73</f>
        <v>1.7896282299676426E-2</v>
      </c>
      <c r="H38" s="17" t="s">
        <v>119</v>
      </c>
      <c r="I38" s="20" t="str">
        <f>'Var Vorgaben'!$B$160</f>
        <v>Rückensprühgerät, 25 l, Benzin</v>
      </c>
      <c r="J38" s="351">
        <f>'Var Vorgaben'!B121</f>
        <v>9</v>
      </c>
      <c r="K38" s="46">
        <f>'Var Vorgaben'!$C$160</f>
        <v>1.5</v>
      </c>
      <c r="L38" s="61">
        <f>'Var Vorgaben'!$D$160*(1+Eingabeseite!$C$24)</f>
        <v>16</v>
      </c>
      <c r="M38" s="43">
        <f>J38*K38*L38</f>
        <v>216</v>
      </c>
      <c r="N38" s="42">
        <f>M38/$M$73</f>
        <v>1.7702927503786735E-2</v>
      </c>
      <c r="O38" s="17" t="s">
        <v>119</v>
      </c>
      <c r="P38" s="20" t="str">
        <f>'Var Vorgaben'!$B$159</f>
        <v>Anbaugebläsepritze 1000 l</v>
      </c>
      <c r="Q38" s="351">
        <f>'Var Vorgaben'!B135</f>
        <v>9</v>
      </c>
      <c r="R38" s="46">
        <f>'Var Vorgaben'!$C$159</f>
        <v>1</v>
      </c>
      <c r="S38" s="61">
        <f>'Var Vorgaben'!$D$159*(1+Eingabeseite!$C$24)</f>
        <v>37</v>
      </c>
      <c r="T38" s="43">
        <f>Q38*S38</f>
        <v>333</v>
      </c>
      <c r="U38" s="42">
        <f>T38/$T$73</f>
        <v>3.8876467103029491E-3</v>
      </c>
      <c r="V38" s="17" t="s">
        <v>119</v>
      </c>
      <c r="W38" s="20" t="str">
        <f>'Var Vorgaben'!$B$159</f>
        <v>Anbaugebläsepritze 1000 l</v>
      </c>
      <c r="X38" s="351">
        <f>'Var Vorgaben'!B135</f>
        <v>9</v>
      </c>
      <c r="Y38" s="46">
        <f>'Var Vorgaben'!$C$159</f>
        <v>1</v>
      </c>
      <c r="Z38" s="61">
        <f>'Var Vorgaben'!$D$159*(1+Eingabeseite!$C$24)</f>
        <v>37</v>
      </c>
      <c r="AA38" s="43">
        <f>X38*Z38</f>
        <v>333</v>
      </c>
      <c r="AB38" s="42">
        <f>AA38/$AA$73</f>
        <v>9.9027973875115329E-3</v>
      </c>
      <c r="AC38" s="17" t="s">
        <v>119</v>
      </c>
      <c r="AD38" s="20" t="str">
        <f>'Var Vorgaben'!$B$159</f>
        <v>Anbaugebläsepritze 1000 l</v>
      </c>
      <c r="AE38" s="351">
        <f>'Var Vorgaben'!$B$145</f>
        <v>5</v>
      </c>
      <c r="AF38" s="46">
        <f>'Var Vorgaben'!$C$159</f>
        <v>1</v>
      </c>
      <c r="AG38" s="61">
        <f>'Var Vorgaben'!$D$159*(1+Eingabeseite!$C$24)</f>
        <v>37</v>
      </c>
      <c r="AH38" s="43">
        <f>AE38*AG38</f>
        <v>185</v>
      </c>
      <c r="AI38" s="42">
        <f>AH38/$AH$73</f>
        <v>3.3671717848916308E-3</v>
      </c>
      <c r="AJ38" s="17" t="s">
        <v>119</v>
      </c>
      <c r="AK38" s="20" t="str">
        <f>'Var Vorgaben'!$B$159</f>
        <v>Anbaugebläsepritze 1000 l</v>
      </c>
      <c r="AL38" s="351">
        <f>'Var Vorgaben'!$B$145</f>
        <v>5</v>
      </c>
      <c r="AM38" s="46">
        <f>'Var Vorgaben'!$C$159</f>
        <v>1</v>
      </c>
      <c r="AN38" s="61">
        <f>'Var Vorgaben'!$D$159*(1+Eingabeseite!$C$24)</f>
        <v>37</v>
      </c>
      <c r="AO38" s="43">
        <f>AL38*AN38</f>
        <v>185</v>
      </c>
      <c r="AP38" s="42">
        <f>AO38/$AO$73</f>
        <v>3.290479493719807E-3</v>
      </c>
      <c r="AQ38" s="17" t="s">
        <v>119</v>
      </c>
      <c r="AR38" s="20" t="str">
        <f>'Var Vorgaben'!$B$159</f>
        <v>Anbaugebläsepritze 1000 l</v>
      </c>
      <c r="AS38" s="351">
        <f>'Var Vorgaben'!$B$145</f>
        <v>5</v>
      </c>
      <c r="AT38" s="46">
        <f>'Var Vorgaben'!$C$159</f>
        <v>1</v>
      </c>
      <c r="AU38" s="61">
        <f>'Var Vorgaben'!$D$159*(1+Eingabeseite!$C$24)</f>
        <v>37</v>
      </c>
      <c r="AV38" s="43">
        <f>AS38*AU38</f>
        <v>185</v>
      </c>
      <c r="AW38" s="42">
        <f>AV38/$AV$73</f>
        <v>3.3904059407103811E-3</v>
      </c>
      <c r="AX38" s="17" t="s">
        <v>119</v>
      </c>
      <c r="AY38" s="20" t="str">
        <f>'Var Vorgaben'!$B$159</f>
        <v>Anbaugebläsepritze 1000 l</v>
      </c>
      <c r="AZ38" s="351">
        <f>'Var Vorgaben'!$B$145</f>
        <v>5</v>
      </c>
      <c r="BA38" s="46">
        <f>'Var Vorgaben'!$C$159</f>
        <v>1</v>
      </c>
      <c r="BB38" s="61">
        <f>'Var Vorgaben'!$D$159*(1+Eingabeseite!$C$24)</f>
        <v>37</v>
      </c>
      <c r="BC38" s="43">
        <f>AZ38*BB38</f>
        <v>185</v>
      </c>
      <c r="BD38" s="42">
        <f>BC38/$BC$73</f>
        <v>3.4027163152044832E-3</v>
      </c>
      <c r="BE38" s="17" t="s">
        <v>119</v>
      </c>
      <c r="BF38" s="20" t="str">
        <f>'Var Vorgaben'!$B$159</f>
        <v>Anbaugebläsepritze 1000 l</v>
      </c>
      <c r="BG38" s="351">
        <f>'Var Vorgaben'!$B$145</f>
        <v>5</v>
      </c>
      <c r="BH38" s="46">
        <f>'Var Vorgaben'!$C$159</f>
        <v>1</v>
      </c>
      <c r="BI38" s="61">
        <f>'Var Vorgaben'!$D$159*(1+Eingabeseite!$C$24)</f>
        <v>37</v>
      </c>
      <c r="BJ38" s="43">
        <f>BG38*BI38</f>
        <v>185</v>
      </c>
      <c r="BK38" s="42">
        <f>BJ38/$BJ$73</f>
        <v>1.8442324626814393E-3</v>
      </c>
      <c r="BL38" s="17" t="s">
        <v>119</v>
      </c>
      <c r="BM38" s="20" t="str">
        <f>'Var Vorgaben'!$B$159</f>
        <v>Anbaugebläsepritze 1000 l</v>
      </c>
      <c r="BN38" s="351">
        <f>'Var Vorgaben'!$B$145</f>
        <v>5</v>
      </c>
      <c r="BO38" s="46">
        <f>'Var Vorgaben'!$C$159</f>
        <v>1</v>
      </c>
      <c r="BP38" s="61">
        <f>'Var Vorgaben'!$D$159*(1+Eingabeseite!$C$24)</f>
        <v>37</v>
      </c>
      <c r="BQ38" s="43">
        <f>BN38*BP38</f>
        <v>185</v>
      </c>
      <c r="BR38" s="42">
        <f>BQ38/$BQ$73</f>
        <v>3.1375465542130719E-3</v>
      </c>
      <c r="BS38" s="17" t="s">
        <v>119</v>
      </c>
      <c r="BT38" s="20" t="str">
        <f>'Var Vorgaben'!$B$159</f>
        <v>Anbaugebläsepritze 1000 l</v>
      </c>
      <c r="BU38" s="351">
        <f>'Var Vorgaben'!$B$145</f>
        <v>5</v>
      </c>
      <c r="BV38" s="46">
        <f>'Var Vorgaben'!$C$159</f>
        <v>1</v>
      </c>
      <c r="BW38" s="61">
        <f>'Var Vorgaben'!$D$159*(1+Eingabeseite!$C$24)</f>
        <v>37</v>
      </c>
      <c r="BX38" s="43">
        <f>BU38*BW38</f>
        <v>185</v>
      </c>
      <c r="BY38" s="42">
        <f>BX38/$BX$73</f>
        <v>3.4116709571936142E-3</v>
      </c>
      <c r="BZ38" s="17" t="s">
        <v>119</v>
      </c>
      <c r="CA38" s="20" t="str">
        <f>'Var Vorgaben'!$B$159</f>
        <v>Anbaugebläsepritze 1000 l</v>
      </c>
      <c r="CB38" s="351">
        <f>'Var Vorgaben'!$B$145</f>
        <v>5</v>
      </c>
      <c r="CC38" s="46">
        <f>'Var Vorgaben'!$C$159</f>
        <v>1</v>
      </c>
      <c r="CD38" s="61">
        <f>'Var Vorgaben'!$D$159*(1+Eingabeseite!$C$24)</f>
        <v>37</v>
      </c>
      <c r="CE38" s="43">
        <f>CB38*CD38</f>
        <v>185</v>
      </c>
      <c r="CF38" s="42">
        <f>CE38/$CE$73</f>
        <v>3.3333492180396551E-3</v>
      </c>
      <c r="CG38" s="17" t="s">
        <v>119</v>
      </c>
      <c r="CH38" s="20" t="str">
        <f>'Var Vorgaben'!$B$159</f>
        <v>Anbaugebläsepritze 1000 l</v>
      </c>
      <c r="CI38" s="351">
        <f>'Var Vorgaben'!$B$145</f>
        <v>5</v>
      </c>
      <c r="CJ38" s="46">
        <f>'Var Vorgaben'!$C$159</f>
        <v>1</v>
      </c>
      <c r="CK38" s="61">
        <f>'Var Vorgaben'!$D$159*(1+Eingabeseite!$C$24)</f>
        <v>37</v>
      </c>
      <c r="CL38" s="43">
        <f>CI38*CK38</f>
        <v>185</v>
      </c>
      <c r="CM38" s="42">
        <f>CL38/$CL$73</f>
        <v>3.4363523140945396E-3</v>
      </c>
      <c r="CN38" s="17" t="s">
        <v>119</v>
      </c>
      <c r="CO38" s="20" t="str">
        <f>'Var Vorgaben'!$B$159</f>
        <v>Anbaugebläsepritze 1000 l</v>
      </c>
      <c r="CP38" s="351">
        <f>'Var Vorgaben'!$B$145</f>
        <v>5</v>
      </c>
      <c r="CQ38" s="46">
        <f>'Var Vorgaben'!$C$159</f>
        <v>1</v>
      </c>
      <c r="CR38" s="61">
        <f>'Var Vorgaben'!$D$159*(1+Eingabeseite!$C$24)</f>
        <v>37</v>
      </c>
      <c r="CS38" s="43">
        <f>CP38*CR38</f>
        <v>185</v>
      </c>
      <c r="CT38" s="42">
        <f>CS38/$CS$73</f>
        <v>3.4494214928420136E-3</v>
      </c>
      <c r="CU38" s="17" t="s">
        <v>119</v>
      </c>
      <c r="CV38" s="20" t="str">
        <f>'Var Vorgaben'!$B$159</f>
        <v>Anbaugebläsepritze 1000 l</v>
      </c>
      <c r="CW38" s="351">
        <f>'Var Vorgaben'!$B$145</f>
        <v>5</v>
      </c>
      <c r="CX38" s="46">
        <f>'Var Vorgaben'!$C$159</f>
        <v>1</v>
      </c>
      <c r="CY38" s="61">
        <f>'Var Vorgaben'!$D$159*(1+Eingabeseite!$C$24)</f>
        <v>37</v>
      </c>
      <c r="CZ38" s="43">
        <f>CW38*CY38</f>
        <v>185</v>
      </c>
      <c r="DA38" s="42">
        <f>CZ38/$CZ$73</f>
        <v>3.3697050074536837E-3</v>
      </c>
      <c r="DB38" s="17" t="s">
        <v>119</v>
      </c>
      <c r="DC38" s="20" t="str">
        <f>'Var Vorgaben'!$B$159</f>
        <v>Anbaugebläsepritze 1000 l</v>
      </c>
      <c r="DD38" s="351">
        <f>'Var Vorgaben'!$B$145</f>
        <v>5</v>
      </c>
      <c r="DE38" s="46">
        <f>'Var Vorgaben'!$C$159</f>
        <v>1</v>
      </c>
      <c r="DF38" s="61">
        <f>'Var Vorgaben'!$D$159*(1+Eingabeseite!$C$24)</f>
        <v>37</v>
      </c>
      <c r="DG38" s="43">
        <f>DD38*DF38</f>
        <v>185</v>
      </c>
      <c r="DH38" s="42">
        <f>DG38/$DG$73</f>
        <v>3.1233127889790826E-3</v>
      </c>
    </row>
    <row r="39" spans="1:112" x14ac:dyDescent="0.2">
      <c r="B39" s="20" t="str">
        <f>'Var Vorgaben'!$B$161</f>
        <v>Düngerstreuer Einkasten 2.5 m</v>
      </c>
      <c r="C39" s="351">
        <f>C14</f>
        <v>1</v>
      </c>
      <c r="D39" s="46">
        <f>'Var Vorgaben'!$C$161</f>
        <v>1</v>
      </c>
      <c r="E39" s="61">
        <f>'Var Vorgaben'!$D$161*(1+Eingabeseite!$C$24)</f>
        <v>18</v>
      </c>
      <c r="F39" s="43">
        <f>C39*E39</f>
        <v>18</v>
      </c>
      <c r="G39" s="42">
        <f>F39/$F$73</f>
        <v>1.4913568583063688E-3</v>
      </c>
      <c r="H39" s="17"/>
      <c r="I39" s="20" t="str">
        <f>'Var Vorgaben'!$B$161</f>
        <v>Düngerstreuer Einkasten 2.5 m</v>
      </c>
      <c r="J39" s="351">
        <f>J14</f>
        <v>1</v>
      </c>
      <c r="K39" s="46">
        <f>'Var Vorgaben'!$C$161</f>
        <v>1</v>
      </c>
      <c r="L39" s="61">
        <f>'Var Vorgaben'!$D$161*(1+Eingabeseite!$C$24)</f>
        <v>18</v>
      </c>
      <c r="M39" s="43">
        <f>J39*L39</f>
        <v>18</v>
      </c>
      <c r="N39" s="42">
        <f>M39/$M$73</f>
        <v>1.4752439586488946E-3</v>
      </c>
      <c r="O39" s="17"/>
      <c r="P39" s="20" t="str">
        <f>'Var Vorgaben'!$B$161</f>
        <v>Düngerstreuer Einkasten 2.5 m</v>
      </c>
      <c r="Q39" s="351">
        <f>Q14</f>
        <v>1</v>
      </c>
      <c r="R39" s="46">
        <f>'Var Vorgaben'!$C$161</f>
        <v>1</v>
      </c>
      <c r="S39" s="61">
        <f>'Var Vorgaben'!$D$161*(1+Eingabeseite!$C$24)</f>
        <v>18</v>
      </c>
      <c r="T39" s="43">
        <f>Q39*S39</f>
        <v>18</v>
      </c>
      <c r="U39" s="42">
        <f>T39/$T$73</f>
        <v>2.1014306542178104E-4</v>
      </c>
      <c r="V39" s="17"/>
      <c r="W39" s="20" t="str">
        <f>'Var Vorgaben'!$B$161</f>
        <v>Düngerstreuer Einkasten 2.5 m</v>
      </c>
      <c r="X39" s="351">
        <f>X14</f>
        <v>1</v>
      </c>
      <c r="Y39" s="46">
        <f>'Var Vorgaben'!$C$161</f>
        <v>1</v>
      </c>
      <c r="Z39" s="61">
        <f>'Var Vorgaben'!$D$161*(1+Eingabeseite!$C$24)</f>
        <v>18</v>
      </c>
      <c r="AA39" s="43">
        <f>X39*Z39</f>
        <v>18</v>
      </c>
      <c r="AB39" s="42">
        <f>AA39/$AA$73</f>
        <v>5.3528634527089363E-4</v>
      </c>
      <c r="AC39" s="17"/>
      <c r="AD39" s="20" t="str">
        <f>'Var Vorgaben'!$B$161</f>
        <v>Düngerstreuer Einkasten 2.5 m</v>
      </c>
      <c r="AE39" s="351">
        <f>AE14</f>
        <v>1</v>
      </c>
      <c r="AF39" s="46">
        <f>'Var Vorgaben'!$C$161</f>
        <v>1</v>
      </c>
      <c r="AG39" s="61">
        <f>'Var Vorgaben'!$D$161*(1+Eingabeseite!$C$24)</f>
        <v>18</v>
      </c>
      <c r="AH39" s="43">
        <f>AE39*AG39</f>
        <v>18</v>
      </c>
      <c r="AI39" s="42">
        <f>AH39/$AH$73</f>
        <v>3.2761671420567217E-4</v>
      </c>
      <c r="AJ39" s="17"/>
      <c r="AK39" s="20" t="str">
        <f>'Var Vorgaben'!$B$161</f>
        <v>Düngerstreuer Einkasten 2.5 m</v>
      </c>
      <c r="AL39" s="351">
        <f>AL14</f>
        <v>1</v>
      </c>
      <c r="AM39" s="46">
        <f>'Var Vorgaben'!$C$161</f>
        <v>1</v>
      </c>
      <c r="AN39" s="61">
        <f>'Var Vorgaben'!$D$161*(1+Eingabeseite!$C$24)</f>
        <v>18</v>
      </c>
      <c r="AO39" s="43">
        <f>AL39*AN39</f>
        <v>18</v>
      </c>
      <c r="AP39" s="42">
        <f>AO39/$AO$73</f>
        <v>3.2015476155111634E-4</v>
      </c>
      <c r="AQ39" s="17"/>
      <c r="AR39" s="20" t="str">
        <f>'Var Vorgaben'!$B$161</f>
        <v>Düngerstreuer Einkasten 2.5 m</v>
      </c>
      <c r="AS39" s="351">
        <f>AS14</f>
        <v>1</v>
      </c>
      <c r="AT39" s="46">
        <f>'Var Vorgaben'!$C$161</f>
        <v>1</v>
      </c>
      <c r="AU39" s="61">
        <f>'Var Vorgaben'!$D$161*(1+Eingabeseite!$C$24)</f>
        <v>18</v>
      </c>
      <c r="AV39" s="43">
        <f>AS39*AU39</f>
        <v>18</v>
      </c>
      <c r="AW39" s="42">
        <f>AV39/$AV$73</f>
        <v>3.2987733477182085E-4</v>
      </c>
      <c r="AX39" s="17"/>
      <c r="AY39" s="20" t="str">
        <f>'Var Vorgaben'!$B$161</f>
        <v>Düngerstreuer Einkasten 2.5 m</v>
      </c>
      <c r="AZ39" s="351">
        <f>AZ14</f>
        <v>1</v>
      </c>
      <c r="BA39" s="46">
        <f>'Var Vorgaben'!$C$161</f>
        <v>1</v>
      </c>
      <c r="BB39" s="61">
        <f>'Var Vorgaben'!$D$161*(1+Eingabeseite!$C$24)</f>
        <v>18</v>
      </c>
      <c r="BC39" s="43">
        <f>AZ39*BB39</f>
        <v>18</v>
      </c>
      <c r="BD39" s="42">
        <f>BC39/$BC$73</f>
        <v>3.3107510093881461E-4</v>
      </c>
      <c r="BE39" s="17"/>
      <c r="BF39" s="20" t="str">
        <f>'Var Vorgaben'!$B$161</f>
        <v>Düngerstreuer Einkasten 2.5 m</v>
      </c>
      <c r="BG39" s="351">
        <f>BG14</f>
        <v>1</v>
      </c>
      <c r="BH39" s="46">
        <f>'Var Vorgaben'!$C$161</f>
        <v>1</v>
      </c>
      <c r="BI39" s="61">
        <f>'Var Vorgaben'!$D$161*(1+Eingabeseite!$C$24)</f>
        <v>18</v>
      </c>
      <c r="BJ39" s="43">
        <f>BG39*BI39</f>
        <v>18</v>
      </c>
      <c r="BK39" s="42">
        <f>BJ39/$BJ$73</f>
        <v>1.7943883420684274E-4</v>
      </c>
      <c r="BL39" s="17"/>
      <c r="BM39" s="20" t="str">
        <f>'Var Vorgaben'!$B$161</f>
        <v>Düngerstreuer Einkasten 2.5 m</v>
      </c>
      <c r="BN39" s="351">
        <f>BN14</f>
        <v>1</v>
      </c>
      <c r="BO39" s="46">
        <f>'Var Vorgaben'!$C$161</f>
        <v>1</v>
      </c>
      <c r="BP39" s="61">
        <f>'Var Vorgaben'!$D$161*(1+Eingabeseite!$C$24)</f>
        <v>18</v>
      </c>
      <c r="BQ39" s="43">
        <f>BN39*BP39</f>
        <v>18</v>
      </c>
      <c r="BR39" s="42">
        <f>BQ39/$BQ$73</f>
        <v>3.0527479986937995E-4</v>
      </c>
      <c r="BS39" s="17"/>
      <c r="BT39" s="20" t="str">
        <f>'Var Vorgaben'!$B$161</f>
        <v>Düngerstreuer Einkasten 2.5 m</v>
      </c>
      <c r="BU39" s="351">
        <f>BU14</f>
        <v>1</v>
      </c>
      <c r="BV39" s="46">
        <f>'Var Vorgaben'!$C$161</f>
        <v>1</v>
      </c>
      <c r="BW39" s="61">
        <f>'Var Vorgaben'!$D$161*(1+Eingabeseite!$C$24)</f>
        <v>18</v>
      </c>
      <c r="BX39" s="43">
        <f>BU39*BW39</f>
        <v>18</v>
      </c>
      <c r="BY39" s="42">
        <f>BX39/$BX$73</f>
        <v>3.3194636340262191E-4</v>
      </c>
      <c r="BZ39" s="17"/>
      <c r="CA39" s="20" t="str">
        <f>'Var Vorgaben'!$B$161</f>
        <v>Düngerstreuer Einkasten 2.5 m</v>
      </c>
      <c r="CB39" s="351">
        <f>CB14</f>
        <v>1</v>
      </c>
      <c r="CC39" s="46">
        <f>'Var Vorgaben'!$C$161</f>
        <v>1</v>
      </c>
      <c r="CD39" s="61">
        <f>'Var Vorgaben'!$D$161*(1+Eingabeseite!$C$24)</f>
        <v>18</v>
      </c>
      <c r="CE39" s="43">
        <f>CB39*CD39</f>
        <v>18</v>
      </c>
      <c r="CF39" s="42">
        <f>CE39/$CE$73</f>
        <v>3.2432586986331781E-4</v>
      </c>
      <c r="CG39" s="17"/>
      <c r="CH39" s="20" t="str">
        <f>'Var Vorgaben'!$B$161</f>
        <v>Düngerstreuer Einkasten 2.5 m</v>
      </c>
      <c r="CI39" s="351">
        <f>CI14</f>
        <v>1</v>
      </c>
      <c r="CJ39" s="46">
        <f>'Var Vorgaben'!$C$161</f>
        <v>1</v>
      </c>
      <c r="CK39" s="61">
        <f>'Var Vorgaben'!$D$161*(1+Eingabeseite!$C$24)</f>
        <v>18</v>
      </c>
      <c r="CL39" s="43">
        <f>CI39*CK39</f>
        <v>18</v>
      </c>
      <c r="CM39" s="42">
        <f>CL39/$CL$73</f>
        <v>3.3434779272271199E-4</v>
      </c>
      <c r="CN39" s="17"/>
      <c r="CO39" s="20" t="str">
        <f>'Var Vorgaben'!$B$161</f>
        <v>Düngerstreuer Einkasten 2.5 m</v>
      </c>
      <c r="CP39" s="351">
        <f>CP14</f>
        <v>1</v>
      </c>
      <c r="CQ39" s="46">
        <f>'Var Vorgaben'!$C$161</f>
        <v>1</v>
      </c>
      <c r="CR39" s="61">
        <f>'Var Vorgaben'!$D$161*(1+Eingabeseite!$C$24)</f>
        <v>18</v>
      </c>
      <c r="CS39" s="43">
        <f>CP39*CR39</f>
        <v>18</v>
      </c>
      <c r="CT39" s="42">
        <f>CS39/$CS$73</f>
        <v>3.3561938849273646E-4</v>
      </c>
      <c r="CU39" s="17"/>
      <c r="CV39" s="20" t="str">
        <f>'Var Vorgaben'!$B$161</f>
        <v>Düngerstreuer Einkasten 2.5 m</v>
      </c>
      <c r="CW39" s="351">
        <f>CW14</f>
        <v>1</v>
      </c>
      <c r="CX39" s="46">
        <f>'Var Vorgaben'!$C$161</f>
        <v>1</v>
      </c>
      <c r="CY39" s="61">
        <f>'Var Vorgaben'!$D$161*(1+Eingabeseite!$C$24)</f>
        <v>18</v>
      </c>
      <c r="CZ39" s="43">
        <f>CW39*CY39</f>
        <v>18</v>
      </c>
      <c r="DA39" s="42">
        <f>CZ39/$CZ$73</f>
        <v>3.2786318991441244E-4</v>
      </c>
      <c r="DB39" s="17"/>
      <c r="DC39" s="20" t="str">
        <f>'Var Vorgaben'!$B$161</f>
        <v>Düngerstreuer Einkasten 2.5 m</v>
      </c>
      <c r="DD39" s="351">
        <f>DD14</f>
        <v>1</v>
      </c>
      <c r="DE39" s="46">
        <f>'Var Vorgaben'!$C$161</f>
        <v>1</v>
      </c>
      <c r="DF39" s="61">
        <f>'Var Vorgaben'!$D$161*(1+Eingabeseite!$C$24)</f>
        <v>18</v>
      </c>
      <c r="DG39" s="43">
        <f>DD39*DF39</f>
        <v>18</v>
      </c>
      <c r="DH39" s="42">
        <f>DG39/$DG$73</f>
        <v>3.0388989298174861E-4</v>
      </c>
    </row>
    <row r="40" spans="1:112" x14ac:dyDescent="0.2">
      <c r="B40" s="20" t="str">
        <f>'Var Vorgaben'!$B$162</f>
        <v>Kompoststreuer für Obstanlagen, um 3m³</v>
      </c>
      <c r="C40" s="535">
        <f>C15+C16</f>
        <v>0</v>
      </c>
      <c r="D40" s="46">
        <f>'Var Vorgaben'!$C$162</f>
        <v>0.38461538461538458</v>
      </c>
      <c r="E40" s="61">
        <f>'Var Vorgaben'!$D$162*(1+Eingabeseite!$C$24)</f>
        <v>44</v>
      </c>
      <c r="F40" s="43">
        <f>C40*E40</f>
        <v>0</v>
      </c>
      <c r="G40" s="42">
        <f>F40/$F$73</f>
        <v>0</v>
      </c>
      <c r="H40" s="17"/>
      <c r="I40" s="20" t="str">
        <f>'Var Vorgaben'!$B$162</f>
        <v>Kompoststreuer für Obstanlagen, um 3m³</v>
      </c>
      <c r="J40" s="535">
        <f>J15+J16</f>
        <v>0</v>
      </c>
      <c r="K40" s="46">
        <f>'Var Vorgaben'!$C$162</f>
        <v>0.38461538461538458</v>
      </c>
      <c r="L40" s="61">
        <f>'Var Vorgaben'!$D$162*(1+Eingabeseite!$C$24)</f>
        <v>44</v>
      </c>
      <c r="M40" s="43">
        <f>J40*L40</f>
        <v>0</v>
      </c>
      <c r="N40" s="42">
        <f>M40/$M$73</f>
        <v>0</v>
      </c>
      <c r="O40" s="17"/>
      <c r="P40" s="20" t="str">
        <f>'Var Vorgaben'!$B$162</f>
        <v>Kompoststreuer für Obstanlagen, um 3m³</v>
      </c>
      <c r="Q40" s="535">
        <f>Q15+Q16</f>
        <v>22</v>
      </c>
      <c r="R40" s="46">
        <f>'Var Vorgaben'!$C$162</f>
        <v>0.38461538461538458</v>
      </c>
      <c r="S40" s="61">
        <f>'Var Vorgaben'!$D$162*(1+Eingabeseite!$C$24)</f>
        <v>44</v>
      </c>
      <c r="T40" s="43">
        <f>Q40*S40</f>
        <v>968</v>
      </c>
      <c r="U40" s="42">
        <f>T40/$T$73</f>
        <v>1.1301027073793558E-2</v>
      </c>
      <c r="V40" s="17"/>
      <c r="W40" s="20" t="str">
        <f>'Var Vorgaben'!$B$162</f>
        <v>Kompoststreuer für Obstanlagen, um 3m³</v>
      </c>
      <c r="X40" s="535">
        <f>X15+X16</f>
        <v>9.3333333333333339</v>
      </c>
      <c r="Y40" s="46">
        <f>'Var Vorgaben'!$C$162</f>
        <v>0.38461538461538458</v>
      </c>
      <c r="Z40" s="61">
        <f>'Var Vorgaben'!$D$162*(1+Eingabeseite!$C$24)</f>
        <v>44</v>
      </c>
      <c r="AA40" s="43">
        <f>X40*Z40</f>
        <v>410.66666666666669</v>
      </c>
      <c r="AB40" s="42">
        <f>AA40/$AA$73</f>
        <v>1.2212458840254464E-2</v>
      </c>
      <c r="AC40" s="17"/>
      <c r="AD40" s="20" t="str">
        <f>'Var Vorgaben'!$B$162</f>
        <v>Kompoststreuer für Obstanlagen, um 3m³</v>
      </c>
      <c r="AE40" s="535">
        <f>AE15+AE16</f>
        <v>14</v>
      </c>
      <c r="AF40" s="46">
        <f>'Var Vorgaben'!$C$162</f>
        <v>0.38461538461538458</v>
      </c>
      <c r="AG40" s="61">
        <f>'Var Vorgaben'!$D$162*(1+Eingabeseite!$C$24)</f>
        <v>44</v>
      </c>
      <c r="AH40" s="43">
        <f>AE40*AG40</f>
        <v>616</v>
      </c>
      <c r="AI40" s="42">
        <f>AH40/$AH$73</f>
        <v>1.1211771997260781E-2</v>
      </c>
      <c r="AJ40" s="17"/>
      <c r="AK40" s="20" t="str">
        <f>'Var Vorgaben'!$B$162</f>
        <v>Kompoststreuer für Obstanlagen, um 3m³</v>
      </c>
      <c r="AL40" s="535">
        <f>AL15+AL16</f>
        <v>33</v>
      </c>
      <c r="AM40" s="46">
        <f>'Var Vorgaben'!$C$162</f>
        <v>0.38461538461538458</v>
      </c>
      <c r="AN40" s="61">
        <f>'Var Vorgaben'!$D$162*(1+Eingabeseite!$C$24)</f>
        <v>44</v>
      </c>
      <c r="AO40" s="43">
        <f>AL40*AN40</f>
        <v>1452</v>
      </c>
      <c r="AP40" s="42">
        <f>AO40/$AO$73</f>
        <v>2.5825817431790053E-2</v>
      </c>
      <c r="AQ40" s="17"/>
      <c r="AR40" s="20" t="str">
        <f>'Var Vorgaben'!$B$162</f>
        <v>Kompoststreuer für Obstanlagen, um 3m³</v>
      </c>
      <c r="AS40" s="535">
        <f>AS15+AS16</f>
        <v>14</v>
      </c>
      <c r="AT40" s="46">
        <f>'Var Vorgaben'!$C$162</f>
        <v>0.38461538461538458</v>
      </c>
      <c r="AU40" s="61">
        <f>'Var Vorgaben'!$D$162*(1+Eingabeseite!$C$24)</f>
        <v>44</v>
      </c>
      <c r="AV40" s="43">
        <f>AS40*AU40</f>
        <v>616</v>
      </c>
      <c r="AW40" s="42">
        <f>AV40/$AV$73</f>
        <v>1.1289135456635646E-2</v>
      </c>
      <c r="AX40" s="17"/>
      <c r="AY40" s="20" t="str">
        <f>'Var Vorgaben'!$B$162</f>
        <v>Kompoststreuer für Obstanlagen, um 3m³</v>
      </c>
      <c r="AZ40" s="535">
        <f>AZ15+AZ16</f>
        <v>14</v>
      </c>
      <c r="BA40" s="46">
        <f>'Var Vorgaben'!$C$162</f>
        <v>0.38461538461538458</v>
      </c>
      <c r="BB40" s="61">
        <f>'Var Vorgaben'!$D$162*(1+Eingabeseite!$C$24)</f>
        <v>44</v>
      </c>
      <c r="BC40" s="43">
        <f>AZ40*BB40</f>
        <v>616</v>
      </c>
      <c r="BD40" s="42">
        <f>BC40/$BC$73</f>
        <v>1.1330125676572766E-2</v>
      </c>
      <c r="BE40" s="17"/>
      <c r="BF40" s="20" t="str">
        <f>'Var Vorgaben'!$B$162</f>
        <v>Kompoststreuer für Obstanlagen, um 3m³</v>
      </c>
      <c r="BG40" s="535">
        <f>BG15+BG16</f>
        <v>33</v>
      </c>
      <c r="BH40" s="46">
        <f>'Var Vorgaben'!$C$162</f>
        <v>0.38461538461538458</v>
      </c>
      <c r="BI40" s="61">
        <f>'Var Vorgaben'!$D$162*(1+Eingabeseite!$C$24)</f>
        <v>44</v>
      </c>
      <c r="BJ40" s="43">
        <f>BG40*BI40</f>
        <v>1452</v>
      </c>
      <c r="BK40" s="42">
        <f>BJ40/$BJ$73</f>
        <v>1.4474732626018647E-2</v>
      </c>
      <c r="BL40" s="17"/>
      <c r="BM40" s="20" t="str">
        <f>'Var Vorgaben'!$B$162</f>
        <v>Kompoststreuer für Obstanlagen, um 3m³</v>
      </c>
      <c r="BN40" s="535">
        <f>BN15+BN16</f>
        <v>14</v>
      </c>
      <c r="BO40" s="46">
        <f>'Var Vorgaben'!$C$162</f>
        <v>0.38461538461538458</v>
      </c>
      <c r="BP40" s="61">
        <f>'Var Vorgaben'!$D$162*(1+Eingabeseite!$C$24)</f>
        <v>44</v>
      </c>
      <c r="BQ40" s="43">
        <f>BN40*BP40</f>
        <v>616</v>
      </c>
      <c r="BR40" s="42">
        <f>BQ40/$BQ$73</f>
        <v>1.0447182039974336E-2</v>
      </c>
      <c r="BS40" s="17"/>
      <c r="BT40" s="20" t="str">
        <f>'Var Vorgaben'!$B$162</f>
        <v>Kompoststreuer für Obstanlagen, um 3m³</v>
      </c>
      <c r="BU40" s="535">
        <f>BU15+BU16</f>
        <v>14</v>
      </c>
      <c r="BV40" s="46">
        <f>'Var Vorgaben'!$C$162</f>
        <v>0.38461538461538458</v>
      </c>
      <c r="BW40" s="61">
        <f>'Var Vorgaben'!$D$162*(1+Eingabeseite!$C$24)</f>
        <v>44</v>
      </c>
      <c r="BX40" s="43">
        <f>BU40*BW40</f>
        <v>616</v>
      </c>
      <c r="BY40" s="42">
        <f>BX40/$BX$73</f>
        <v>1.1359942214223061E-2</v>
      </c>
      <c r="BZ40" s="17"/>
      <c r="CA40" s="20" t="str">
        <f>'Var Vorgaben'!$B$162</f>
        <v>Kompoststreuer für Obstanlagen, um 3m³</v>
      </c>
      <c r="CB40" s="535">
        <f>CB15+CB16</f>
        <v>33</v>
      </c>
      <c r="CC40" s="46">
        <f>'Var Vorgaben'!$C$162</f>
        <v>0.38461538461538458</v>
      </c>
      <c r="CD40" s="61">
        <f>'Var Vorgaben'!$D$162*(1+Eingabeseite!$C$24)</f>
        <v>44</v>
      </c>
      <c r="CE40" s="43">
        <f>CB40*CD40</f>
        <v>1452</v>
      </c>
      <c r="CF40" s="42">
        <f>CE40/$CE$73</f>
        <v>2.6162286835640969E-2</v>
      </c>
      <c r="CG40" s="17"/>
      <c r="CH40" s="20" t="str">
        <f>'Var Vorgaben'!$B$162</f>
        <v>Kompoststreuer für Obstanlagen, um 3m³</v>
      </c>
      <c r="CI40" s="535">
        <f>CI15+CI16</f>
        <v>14</v>
      </c>
      <c r="CJ40" s="46">
        <f>'Var Vorgaben'!$C$162</f>
        <v>0.38461538461538458</v>
      </c>
      <c r="CK40" s="61">
        <f>'Var Vorgaben'!$D$162*(1+Eingabeseite!$C$24)</f>
        <v>44</v>
      </c>
      <c r="CL40" s="43">
        <f>CI40*CK40</f>
        <v>616</v>
      </c>
      <c r="CM40" s="42">
        <f>CL40/$CL$73</f>
        <v>1.1442124462066144E-2</v>
      </c>
      <c r="CN40" s="17"/>
      <c r="CO40" s="20" t="str">
        <f>'Var Vorgaben'!$B$162</f>
        <v>Kompoststreuer für Obstanlagen, um 3m³</v>
      </c>
      <c r="CP40" s="535">
        <f>CP15+CP16</f>
        <v>14</v>
      </c>
      <c r="CQ40" s="46">
        <f>'Var Vorgaben'!$C$162</f>
        <v>0.38461538461538458</v>
      </c>
      <c r="CR40" s="61">
        <f>'Var Vorgaben'!$D$162*(1+Eingabeseite!$C$24)</f>
        <v>44</v>
      </c>
      <c r="CS40" s="43">
        <f>CP40*CR40</f>
        <v>616</v>
      </c>
      <c r="CT40" s="42">
        <f>CS40/$CS$73</f>
        <v>1.1485641295084758E-2</v>
      </c>
      <c r="CU40" s="17"/>
      <c r="CV40" s="20" t="str">
        <f>'Var Vorgaben'!$B$162</f>
        <v>Kompoststreuer für Obstanlagen, um 3m³</v>
      </c>
      <c r="CW40" s="535">
        <f>CW15+CW16</f>
        <v>33</v>
      </c>
      <c r="CX40" s="46">
        <f>'Var Vorgaben'!$C$162</f>
        <v>0.38461538461538458</v>
      </c>
      <c r="CY40" s="61">
        <f>'Var Vorgaben'!$D$162*(1+Eingabeseite!$C$24)</f>
        <v>44</v>
      </c>
      <c r="CZ40" s="43">
        <f>CW40*CY40</f>
        <v>1452</v>
      </c>
      <c r="DA40" s="42">
        <f>CZ40/$CZ$73</f>
        <v>2.6447630653095938E-2</v>
      </c>
      <c r="DB40" s="17"/>
      <c r="DC40" s="20" t="str">
        <f>'Var Vorgaben'!$B$162</f>
        <v>Kompoststreuer für Obstanlagen, um 3m³</v>
      </c>
      <c r="DD40" s="535">
        <f>DD15+DD16</f>
        <v>14</v>
      </c>
      <c r="DE40" s="46">
        <f>'Var Vorgaben'!$C$162</f>
        <v>0.38461538461538458</v>
      </c>
      <c r="DF40" s="61">
        <f>'Var Vorgaben'!$D$162*(1+Eingabeseite!$C$24)</f>
        <v>44</v>
      </c>
      <c r="DG40" s="43">
        <f>DD40*DF40</f>
        <v>616</v>
      </c>
      <c r="DH40" s="42">
        <f>DG40/$DG$73</f>
        <v>1.0399787448708731E-2</v>
      </c>
    </row>
    <row r="41" spans="1:112" x14ac:dyDescent="0.2">
      <c r="B41" s="20" t="str">
        <f>'Var Vorgaben'!$B$163</f>
        <v>Hackgerät Ladurner, einseitig</v>
      </c>
      <c r="C41" s="351">
        <f>'Var Vorgaben'!B122</f>
        <v>3</v>
      </c>
      <c r="D41" s="46">
        <f>'Var Vorgaben'!$C$163</f>
        <v>2</v>
      </c>
      <c r="E41" s="61">
        <f>'Var Vorgaben'!$D$163*(1+Eingabeseite!$C$24)</f>
        <v>130</v>
      </c>
      <c r="F41" s="43">
        <f>C41*E41</f>
        <v>390</v>
      </c>
      <c r="G41" s="42">
        <f>F41/$F$78</f>
        <v>3.88990335466233E-3</v>
      </c>
      <c r="H41" s="17"/>
      <c r="I41" s="20" t="str">
        <f>'Var Vorgaben'!$B$163</f>
        <v>Hackgerät Ladurner, einseitig</v>
      </c>
      <c r="J41" s="351">
        <f>'Var Vorgaben'!B122</f>
        <v>3</v>
      </c>
      <c r="K41" s="46">
        <f>'Var Vorgaben'!$C$163</f>
        <v>2</v>
      </c>
      <c r="L41" s="61">
        <f>'Var Vorgaben'!$D$163*(1+Eingabeseite!$C$24)</f>
        <v>130</v>
      </c>
      <c r="M41" s="43">
        <f>J41*L41</f>
        <v>390</v>
      </c>
      <c r="N41" s="42">
        <f>M41/$M$78</f>
        <v>3.5531768232603821E-3</v>
      </c>
      <c r="O41" s="17"/>
      <c r="P41" s="20" t="str">
        <f>'Var Vorgaben'!$B$163</f>
        <v>Hackgerät Ladurner, einseitig</v>
      </c>
      <c r="Q41" s="351">
        <f>'Var Vorgaben'!B136</f>
        <v>3</v>
      </c>
      <c r="R41" s="46">
        <f>'Var Vorgaben'!$C$163</f>
        <v>2</v>
      </c>
      <c r="S41" s="61">
        <f>'Var Vorgaben'!$D$163*(1+Eingabeseite!$C$24)</f>
        <v>130</v>
      </c>
      <c r="T41" s="43">
        <f>Q41*S41</f>
        <v>390</v>
      </c>
      <c r="U41" s="42">
        <f>T41/$T$78</f>
        <v>2.1122668360045514E-3</v>
      </c>
      <c r="V41" s="17"/>
      <c r="W41" s="20" t="str">
        <f>'Var Vorgaben'!$B$163</f>
        <v>Hackgerät Ladurner, einseitig</v>
      </c>
      <c r="X41" s="351">
        <f>'Var Vorgaben'!B136</f>
        <v>3</v>
      </c>
      <c r="Y41" s="46">
        <f>'Var Vorgaben'!$C$163</f>
        <v>2</v>
      </c>
      <c r="Z41" s="61">
        <f>'Var Vorgaben'!$D$163*(1+Eingabeseite!$C$24)</f>
        <v>130</v>
      </c>
      <c r="AA41" s="43">
        <f>X41*Z41</f>
        <v>390</v>
      </c>
      <c r="AB41" s="42">
        <f>AA41/$AA$78</f>
        <v>2.067587578257295E-3</v>
      </c>
      <c r="AC41" s="17"/>
      <c r="AD41" s="20" t="str">
        <f>'Var Vorgaben'!$B$163</f>
        <v>Hackgerät Ladurner, einseitig</v>
      </c>
      <c r="AE41" s="351">
        <f>'Var Vorgaben'!$B$146</f>
        <v>3</v>
      </c>
      <c r="AF41" s="46">
        <f>'Var Vorgaben'!$C$163</f>
        <v>2</v>
      </c>
      <c r="AG41" s="61">
        <f>'Var Vorgaben'!$D$163*(1+Eingabeseite!$C$24)</f>
        <v>130</v>
      </c>
      <c r="AH41" s="43">
        <f>AE41*AG41</f>
        <v>390</v>
      </c>
      <c r="AI41" s="42">
        <f>AH41/$AH$78</f>
        <v>2.2555500853715946E-3</v>
      </c>
      <c r="AJ41" s="17"/>
      <c r="AK41" s="20" t="str">
        <f>'Var Vorgaben'!$B$163</f>
        <v>Hackgerät Ladurner, einseitig</v>
      </c>
      <c r="AL41" s="351">
        <f>'Var Vorgaben'!$B$146</f>
        <v>3</v>
      </c>
      <c r="AM41" s="46">
        <f>'Var Vorgaben'!$C$163</f>
        <v>2</v>
      </c>
      <c r="AN41" s="61">
        <f>'Var Vorgaben'!$D$163*(1+Eingabeseite!$C$24)</f>
        <v>130</v>
      </c>
      <c r="AO41" s="43">
        <f>AL41*AN41</f>
        <v>390</v>
      </c>
      <c r="AP41" s="42">
        <f>AO41/$AO$78</f>
        <v>2.4811050939087544E-3</v>
      </c>
      <c r="AQ41" s="17"/>
      <c r="AR41" s="20" t="str">
        <f>'Var Vorgaben'!$B$163</f>
        <v>Hackgerät Ladurner, einseitig</v>
      </c>
      <c r="AS41" s="351">
        <f>'Var Vorgaben'!$B$146</f>
        <v>3</v>
      </c>
      <c r="AT41" s="46">
        <f>'Var Vorgaben'!$C$163</f>
        <v>2</v>
      </c>
      <c r="AU41" s="61">
        <f>'Var Vorgaben'!$D$163*(1+Eingabeseite!$C$24)</f>
        <v>130</v>
      </c>
      <c r="AV41" s="43">
        <f>AS41*AU41</f>
        <v>390</v>
      </c>
      <c r="AW41" s="42">
        <f>AV41/$AV$78</f>
        <v>2.7567834376763939E-3</v>
      </c>
      <c r="AX41" s="17"/>
      <c r="AY41" s="20" t="str">
        <f>'Var Vorgaben'!$B$163</f>
        <v>Hackgerät Ladurner, einseitig</v>
      </c>
      <c r="AZ41" s="351">
        <f>'Var Vorgaben'!$B$146</f>
        <v>3</v>
      </c>
      <c r="BA41" s="46">
        <f>'Var Vorgaben'!$C$163</f>
        <v>2</v>
      </c>
      <c r="BB41" s="61">
        <f>'Var Vorgaben'!$D$163*(1+Eingabeseite!$C$24)</f>
        <v>130</v>
      </c>
      <c r="BC41" s="43">
        <f>AZ41*BB41</f>
        <v>390</v>
      </c>
      <c r="BD41" s="42">
        <f>BC41/$BC$78</f>
        <v>3.1013813673859436E-3</v>
      </c>
      <c r="BE41" s="17"/>
      <c r="BF41" s="20" t="str">
        <f>'Var Vorgaben'!$B$163</f>
        <v>Hackgerät Ladurner, einseitig</v>
      </c>
      <c r="BG41" s="351">
        <f>'Var Vorgaben'!$B$146</f>
        <v>3</v>
      </c>
      <c r="BH41" s="46">
        <f>'Var Vorgaben'!$C$163</f>
        <v>2</v>
      </c>
      <c r="BI41" s="61">
        <f>'Var Vorgaben'!$D$163*(1+Eingabeseite!$C$24)</f>
        <v>130</v>
      </c>
      <c r="BJ41" s="43">
        <f>BG41*BI41</f>
        <v>390</v>
      </c>
      <c r="BK41" s="42">
        <f>BJ41/$BJ$78</f>
        <v>3.5444358484410785E-3</v>
      </c>
      <c r="BL41" s="17"/>
      <c r="BM41" s="20" t="str">
        <f>'Var Vorgaben'!$B$163</f>
        <v>Hackgerät Ladurner, einseitig</v>
      </c>
      <c r="BN41" s="351">
        <f>'Var Vorgaben'!$B$146</f>
        <v>3</v>
      </c>
      <c r="BO41" s="46">
        <f>'Var Vorgaben'!$C$163</f>
        <v>2</v>
      </c>
      <c r="BP41" s="61">
        <f>'Var Vorgaben'!$D$163*(1+Eingabeseite!$C$24)</f>
        <v>130</v>
      </c>
      <c r="BQ41" s="43">
        <f>BN41*BP41</f>
        <v>390</v>
      </c>
      <c r="BR41" s="42">
        <f>BQ41/$BQ$78</f>
        <v>4.1351751565145917E-3</v>
      </c>
      <c r="BS41" s="17"/>
      <c r="BT41" s="20" t="str">
        <f>'Var Vorgaben'!$B$163</f>
        <v>Hackgerät Ladurner, einseitig</v>
      </c>
      <c r="BU41" s="351">
        <f>'Var Vorgaben'!$B$146</f>
        <v>3</v>
      </c>
      <c r="BV41" s="46">
        <f>'Var Vorgaben'!$C$163</f>
        <v>2</v>
      </c>
      <c r="BW41" s="61">
        <f>'Var Vorgaben'!$D$163*(1+Eingabeseite!$C$24)</f>
        <v>130</v>
      </c>
      <c r="BX41" s="43">
        <f>BU41*BW41</f>
        <v>390</v>
      </c>
      <c r="BY41" s="42">
        <f>BX41/$BX$78</f>
        <v>4.9622101878175106E-3</v>
      </c>
      <c r="BZ41" s="17"/>
      <c r="CA41" s="20" t="str">
        <f>'Var Vorgaben'!$B$163</f>
        <v>Hackgerät Ladurner, einseitig</v>
      </c>
      <c r="CB41" s="351">
        <f>'Var Vorgaben'!$B$146</f>
        <v>3</v>
      </c>
      <c r="CC41" s="46">
        <f>'Var Vorgaben'!$C$163</f>
        <v>2</v>
      </c>
      <c r="CD41" s="61">
        <f>'Var Vorgaben'!$D$163*(1+Eingabeseite!$C$24)</f>
        <v>130</v>
      </c>
      <c r="CE41" s="43">
        <f>CB41*CD41</f>
        <v>390</v>
      </c>
      <c r="CF41" s="42">
        <f>CE41/$CE$78</f>
        <v>6.2027627347718889E-3</v>
      </c>
      <c r="CG41" s="17"/>
      <c r="CH41" s="20" t="str">
        <f>'Var Vorgaben'!$B$163</f>
        <v>Hackgerät Ladurner, einseitig</v>
      </c>
      <c r="CI41" s="351">
        <f>'Var Vorgaben'!$B$146</f>
        <v>3</v>
      </c>
      <c r="CJ41" s="46">
        <f>'Var Vorgaben'!$C$163</f>
        <v>2</v>
      </c>
      <c r="CK41" s="61">
        <f>'Var Vorgaben'!$D$163*(1+Eingabeseite!$C$24)</f>
        <v>130</v>
      </c>
      <c r="CL41" s="43">
        <f>CI41*CK41</f>
        <v>390</v>
      </c>
      <c r="CM41" s="42">
        <f>CL41/$CL$78</f>
        <v>8.2703503130291869E-3</v>
      </c>
      <c r="CN41" s="17"/>
      <c r="CO41" s="20" t="str">
        <f>'Var Vorgaben'!$B$163</f>
        <v>Hackgerät Ladurner, einseitig</v>
      </c>
      <c r="CP41" s="351">
        <f>'Var Vorgaben'!$B$146</f>
        <v>3</v>
      </c>
      <c r="CQ41" s="46">
        <f>'Var Vorgaben'!$C$163</f>
        <v>2</v>
      </c>
      <c r="CR41" s="61">
        <f>'Var Vorgaben'!$D$163*(1+Eingabeseite!$C$24)</f>
        <v>130</v>
      </c>
      <c r="CS41" s="43">
        <f>CP41*CR41</f>
        <v>390</v>
      </c>
      <c r="CT41" s="42">
        <f>CS41/$CS$78</f>
        <v>1.2405525469543786E-2</v>
      </c>
      <c r="CU41" s="17"/>
      <c r="CV41" s="20" t="str">
        <f>'Var Vorgaben'!$B$163</f>
        <v>Hackgerät Ladurner, einseitig</v>
      </c>
      <c r="CW41" s="351">
        <f>'Var Vorgaben'!$B$146</f>
        <v>3</v>
      </c>
      <c r="CX41" s="46">
        <f>'Var Vorgaben'!$C$163</f>
        <v>2</v>
      </c>
      <c r="CY41" s="61">
        <f>'Var Vorgaben'!$D$163*(1+Eingabeseite!$C$24)</f>
        <v>130</v>
      </c>
      <c r="CZ41" s="43">
        <f>CW41*CY41</f>
        <v>390</v>
      </c>
      <c r="DA41" s="42">
        <f>CZ41/$CZ$78</f>
        <v>2.4811050939087607E-2</v>
      </c>
      <c r="DB41" s="17"/>
      <c r="DC41" s="20" t="str">
        <f>'Var Vorgaben'!$B$163</f>
        <v>Hackgerät Ladurner, einseitig</v>
      </c>
      <c r="DD41" s="351">
        <f>'Var Vorgaben'!$B$146</f>
        <v>3</v>
      </c>
      <c r="DE41" s="46">
        <f>'Var Vorgaben'!$C$163</f>
        <v>2</v>
      </c>
      <c r="DF41" s="61">
        <f>'Var Vorgaben'!$D$163*(1+Eingabeseite!$C$24)</f>
        <v>130</v>
      </c>
      <c r="DG41" s="43">
        <f>DD41*DF41</f>
        <v>390</v>
      </c>
      <c r="DH41" s="42">
        <f>DG41/$DG$73</f>
        <v>6.5842810146045528E-3</v>
      </c>
    </row>
    <row r="42" spans="1:112" x14ac:dyDescent="0.2">
      <c r="B42" s="20" t="str">
        <f>'Var Vorgaben'!$B$164</f>
        <v>Fadengerät gegen Unkraut, einseitig</v>
      </c>
      <c r="C42" s="351">
        <f>'Var Vorgaben'!B123</f>
        <v>6</v>
      </c>
      <c r="D42" s="46">
        <f>'Var Vorgaben'!$C$164</f>
        <v>1</v>
      </c>
      <c r="E42" s="61">
        <f>'Var Vorgaben'!$D$164*(1+Eingabeseite!$C$24)</f>
        <v>38</v>
      </c>
      <c r="F42" s="43">
        <f>C42*E42</f>
        <v>228</v>
      </c>
      <c r="G42" s="42">
        <f>F42/$F$78</f>
        <v>2.2740973458025928E-3</v>
      </c>
      <c r="H42" s="17"/>
      <c r="I42" s="20" t="str">
        <f>'Var Vorgaben'!$B$164</f>
        <v>Fadengerät gegen Unkraut, einseitig</v>
      </c>
      <c r="J42" s="351">
        <f>'Var Vorgaben'!B123</f>
        <v>6</v>
      </c>
      <c r="K42" s="46">
        <f>'Var Vorgaben'!$C$164</f>
        <v>1</v>
      </c>
      <c r="L42" s="61">
        <f>'Var Vorgaben'!$D$164*(1+Eingabeseite!$C$24)</f>
        <v>38</v>
      </c>
      <c r="M42" s="43">
        <f>J42*L42</f>
        <v>228</v>
      </c>
      <c r="N42" s="42">
        <f>M42/$M$78</f>
        <v>2.0772418351368387E-3</v>
      </c>
      <c r="O42" s="17"/>
      <c r="P42" s="20" t="str">
        <f>'Var Vorgaben'!$B$164</f>
        <v>Fadengerät gegen Unkraut, einseitig</v>
      </c>
      <c r="Q42" s="351">
        <f>'Var Vorgaben'!B137</f>
        <v>6</v>
      </c>
      <c r="R42" s="46">
        <f>'Var Vorgaben'!$C$164</f>
        <v>1</v>
      </c>
      <c r="S42" s="61">
        <f>'Var Vorgaben'!$D$164*(1+Eingabeseite!$C$24)</f>
        <v>38</v>
      </c>
      <c r="T42" s="43">
        <f>Q42*S42</f>
        <v>228</v>
      </c>
      <c r="U42" s="42">
        <f>T42/$T$78</f>
        <v>1.2348636887411224E-3</v>
      </c>
      <c r="V42" s="17"/>
      <c r="W42" s="20" t="str">
        <f>'Var Vorgaben'!$B$164</f>
        <v>Fadengerät gegen Unkraut, einseitig</v>
      </c>
      <c r="X42" s="351">
        <f>'Var Vorgaben'!B137</f>
        <v>6</v>
      </c>
      <c r="Y42" s="46">
        <f>'Var Vorgaben'!$C$164</f>
        <v>1</v>
      </c>
      <c r="Z42" s="61">
        <f>'Var Vorgaben'!$D$164*(1+Eingabeseite!$C$24)</f>
        <v>38</v>
      </c>
      <c r="AA42" s="43">
        <f>X42*Z42</f>
        <v>228</v>
      </c>
      <c r="AB42" s="42">
        <f>AA42/$AA$78</f>
        <v>1.2087435072888801E-3</v>
      </c>
      <c r="AC42" s="17"/>
      <c r="AD42" s="20" t="str">
        <f>'Var Vorgaben'!$B$164</f>
        <v>Fadengerät gegen Unkraut, einseitig</v>
      </c>
      <c r="AE42" s="351">
        <f>'Var Vorgaben'!$B$147</f>
        <v>4</v>
      </c>
      <c r="AF42" s="46">
        <f>'Var Vorgaben'!$C$164</f>
        <v>1</v>
      </c>
      <c r="AG42" s="61">
        <f>'Var Vorgaben'!$D$164*(1+Eingabeseite!$C$24)</f>
        <v>38</v>
      </c>
      <c r="AH42" s="43">
        <f>AE42*AG42</f>
        <v>152</v>
      </c>
      <c r="AI42" s="42">
        <f>AH42/$AH$78</f>
        <v>8.7908618711918566E-4</v>
      </c>
      <c r="AJ42" s="17"/>
      <c r="AK42" s="20" t="str">
        <f>'Var Vorgaben'!$B$164</f>
        <v>Fadengerät gegen Unkraut, einseitig</v>
      </c>
      <c r="AL42" s="351">
        <f>'Var Vorgaben'!$B$147</f>
        <v>4</v>
      </c>
      <c r="AM42" s="46">
        <f>'Var Vorgaben'!$C$164</f>
        <v>1</v>
      </c>
      <c r="AN42" s="61">
        <f>'Var Vorgaben'!$D$164*(1+Eingabeseite!$C$24)</f>
        <v>38</v>
      </c>
      <c r="AO42" s="43">
        <f>AL42*AN42</f>
        <v>152</v>
      </c>
      <c r="AP42" s="42">
        <f>AO42/$AO$78</f>
        <v>9.6699480583110431E-4</v>
      </c>
      <c r="AQ42" s="17"/>
      <c r="AR42" s="20" t="str">
        <f>'Var Vorgaben'!$B$164</f>
        <v>Fadengerät gegen Unkraut, einseitig</v>
      </c>
      <c r="AS42" s="351">
        <f>'Var Vorgaben'!$B$147</f>
        <v>4</v>
      </c>
      <c r="AT42" s="46">
        <f>'Var Vorgaben'!$C$164</f>
        <v>1</v>
      </c>
      <c r="AU42" s="61">
        <f>'Var Vorgaben'!$D$164*(1+Eingabeseite!$C$24)</f>
        <v>38</v>
      </c>
      <c r="AV42" s="43">
        <f>AS42*AU42</f>
        <v>152</v>
      </c>
      <c r="AW42" s="42">
        <f>AV42/$AV$78</f>
        <v>1.0744386731456716E-3</v>
      </c>
      <c r="AX42" s="17"/>
      <c r="AY42" s="20" t="str">
        <f>'Var Vorgaben'!$B$164</f>
        <v>Fadengerät gegen Unkraut, einseitig</v>
      </c>
      <c r="AZ42" s="351">
        <f>'Var Vorgaben'!$B$147</f>
        <v>4</v>
      </c>
      <c r="BA42" s="46">
        <f>'Var Vorgaben'!$C$164</f>
        <v>1</v>
      </c>
      <c r="BB42" s="61">
        <f>'Var Vorgaben'!$D$164*(1+Eingabeseite!$C$24)</f>
        <v>38</v>
      </c>
      <c r="BC42" s="43">
        <f>AZ42*BB42</f>
        <v>152</v>
      </c>
      <c r="BD42" s="42">
        <f>BC42/$BC$78</f>
        <v>1.2087435072888806E-3</v>
      </c>
      <c r="BE42" s="17"/>
      <c r="BF42" s="20" t="str">
        <f>'Var Vorgaben'!$B$164</f>
        <v>Fadengerät gegen Unkraut, einseitig</v>
      </c>
      <c r="BG42" s="351">
        <f>'Var Vorgaben'!$B$147</f>
        <v>4</v>
      </c>
      <c r="BH42" s="46">
        <f>'Var Vorgaben'!$C$164</f>
        <v>1</v>
      </c>
      <c r="BI42" s="61">
        <f>'Var Vorgaben'!$D$164*(1+Eingabeseite!$C$24)</f>
        <v>38</v>
      </c>
      <c r="BJ42" s="43">
        <f>BG42*BI42</f>
        <v>152</v>
      </c>
      <c r="BK42" s="42">
        <f>BJ42/$BJ$78</f>
        <v>1.3814211511872922E-3</v>
      </c>
      <c r="BL42" s="17"/>
      <c r="BM42" s="20" t="str">
        <f>'Var Vorgaben'!$B$164</f>
        <v>Fadengerät gegen Unkraut, einseitig</v>
      </c>
      <c r="BN42" s="351">
        <f>'Var Vorgaben'!$B$147</f>
        <v>4</v>
      </c>
      <c r="BO42" s="46">
        <f>'Var Vorgaben'!$C$164</f>
        <v>1</v>
      </c>
      <c r="BP42" s="61">
        <f>'Var Vorgaben'!$D$164*(1+Eingabeseite!$C$24)</f>
        <v>38</v>
      </c>
      <c r="BQ42" s="43">
        <f>BN42*BP42</f>
        <v>152</v>
      </c>
      <c r="BR42" s="42">
        <f>BQ42/$BQ$78</f>
        <v>1.6116580097185077E-3</v>
      </c>
      <c r="BS42" s="17"/>
      <c r="BT42" s="20" t="str">
        <f>'Var Vorgaben'!$B$164</f>
        <v>Fadengerät gegen Unkraut, einseitig</v>
      </c>
      <c r="BU42" s="351">
        <f>'Var Vorgaben'!$B$147</f>
        <v>4</v>
      </c>
      <c r="BV42" s="46">
        <f>'Var Vorgaben'!$C$164</f>
        <v>1</v>
      </c>
      <c r="BW42" s="61">
        <f>'Var Vorgaben'!$D$164*(1+Eingabeseite!$C$24)</f>
        <v>38</v>
      </c>
      <c r="BX42" s="43">
        <f>BU42*BW42</f>
        <v>152</v>
      </c>
      <c r="BY42" s="42">
        <f>BX42/$BX$78</f>
        <v>1.9339896116622093E-3</v>
      </c>
      <c r="BZ42" s="17"/>
      <c r="CA42" s="20" t="str">
        <f>'Var Vorgaben'!$B$164</f>
        <v>Fadengerät gegen Unkraut, einseitig</v>
      </c>
      <c r="CB42" s="351">
        <f>'Var Vorgaben'!$B$147</f>
        <v>4</v>
      </c>
      <c r="CC42" s="46">
        <f>'Var Vorgaben'!$C$164</f>
        <v>1</v>
      </c>
      <c r="CD42" s="61">
        <f>'Var Vorgaben'!$D$164*(1+Eingabeseite!$C$24)</f>
        <v>38</v>
      </c>
      <c r="CE42" s="43">
        <f>CB42*CD42</f>
        <v>152</v>
      </c>
      <c r="CF42" s="42">
        <f>CE42/$CE$78</f>
        <v>2.417487014577762E-3</v>
      </c>
      <c r="CG42" s="17"/>
      <c r="CH42" s="20" t="str">
        <f>'Var Vorgaben'!$B$164</f>
        <v>Fadengerät gegen Unkraut, einseitig</v>
      </c>
      <c r="CI42" s="351">
        <f>'Var Vorgaben'!$B$147</f>
        <v>4</v>
      </c>
      <c r="CJ42" s="46">
        <f>'Var Vorgaben'!$C$164</f>
        <v>1</v>
      </c>
      <c r="CK42" s="61">
        <f>'Var Vorgaben'!$D$164*(1+Eingabeseite!$C$24)</f>
        <v>38</v>
      </c>
      <c r="CL42" s="43">
        <f>CI42*CK42</f>
        <v>152</v>
      </c>
      <c r="CM42" s="42">
        <f>CL42/$CL$78</f>
        <v>3.2233160194370166E-3</v>
      </c>
      <c r="CN42" s="17"/>
      <c r="CO42" s="20" t="str">
        <f>'Var Vorgaben'!$B$164</f>
        <v>Fadengerät gegen Unkraut, einseitig</v>
      </c>
      <c r="CP42" s="351">
        <f>'Var Vorgaben'!$B$147</f>
        <v>4</v>
      </c>
      <c r="CQ42" s="46">
        <f>'Var Vorgaben'!$C$164</f>
        <v>1</v>
      </c>
      <c r="CR42" s="61">
        <f>'Var Vorgaben'!$D$164*(1+Eingabeseite!$C$24)</f>
        <v>38</v>
      </c>
      <c r="CS42" s="43">
        <f>CP42*CR42</f>
        <v>152</v>
      </c>
      <c r="CT42" s="42">
        <f>CS42/$CS$78</f>
        <v>4.8349740291555275E-3</v>
      </c>
      <c r="CU42" s="17"/>
      <c r="CV42" s="20" t="str">
        <f>'Var Vorgaben'!$B$164</f>
        <v>Fadengerät gegen Unkraut, einseitig</v>
      </c>
      <c r="CW42" s="351">
        <f>'Var Vorgaben'!$B$147</f>
        <v>4</v>
      </c>
      <c r="CX42" s="46">
        <f>'Var Vorgaben'!$C$164</f>
        <v>1</v>
      </c>
      <c r="CY42" s="61">
        <f>'Var Vorgaben'!$D$164*(1+Eingabeseite!$C$24)</f>
        <v>38</v>
      </c>
      <c r="CZ42" s="43">
        <f>CW42*CY42</f>
        <v>152</v>
      </c>
      <c r="DA42" s="42">
        <f>CZ42/$CZ$78</f>
        <v>9.6699480583110672E-3</v>
      </c>
      <c r="DB42" s="17"/>
      <c r="DC42" s="20" t="str">
        <f>'Var Vorgaben'!$B$164</f>
        <v>Fadengerät gegen Unkraut, einseitig</v>
      </c>
      <c r="DD42" s="351">
        <f>'Var Vorgaben'!$B$147</f>
        <v>4</v>
      </c>
      <c r="DE42" s="46">
        <f>'Var Vorgaben'!$C$164</f>
        <v>1</v>
      </c>
      <c r="DF42" s="61">
        <f>'Var Vorgaben'!$D$164*(1+Eingabeseite!$C$24)</f>
        <v>38</v>
      </c>
      <c r="DG42" s="43">
        <f>DD42*DF42</f>
        <v>152</v>
      </c>
      <c r="DH42" s="42">
        <f>DG42/$DG$73</f>
        <v>2.5661813185125439E-3</v>
      </c>
    </row>
    <row r="43" spans="1:112" x14ac:dyDescent="0.2">
      <c r="A43" s="84"/>
      <c r="B43" s="20" t="str">
        <f>'Var Vorgaben'!$B$165</f>
        <v>Pneuwagen 2achsig, 3t (Ernte)</v>
      </c>
      <c r="C43" s="401">
        <f>'Var Vorgaben'!$C$165</f>
        <v>0.1</v>
      </c>
      <c r="D43" s="46">
        <f>C43*C44</f>
        <v>0</v>
      </c>
      <c r="E43" s="61">
        <f>'Var Vorgaben'!$D$165*(1+Eingabeseite!$C$24)</f>
        <v>25</v>
      </c>
      <c r="F43" s="43">
        <f>D43*E43</f>
        <v>0</v>
      </c>
      <c r="G43" s="42">
        <f t="shared" ref="G43:G49" si="18">F43/$F$73</f>
        <v>0</v>
      </c>
      <c r="H43" s="84"/>
      <c r="I43" s="20" t="str">
        <f>'Var Vorgaben'!$B$165</f>
        <v>Pneuwagen 2achsig, 3t (Ernte)</v>
      </c>
      <c r="J43" s="401">
        <f>'Var Vorgaben'!$C$165</f>
        <v>0.1</v>
      </c>
      <c r="K43" s="46">
        <f>J43*J44</f>
        <v>0</v>
      </c>
      <c r="L43" s="61">
        <f>'Var Vorgaben'!$D$165*(1+Eingabeseite!$C$24)</f>
        <v>25</v>
      </c>
      <c r="M43" s="43">
        <f>K43*L43</f>
        <v>0</v>
      </c>
      <c r="N43" s="42">
        <f t="shared" ref="N43:N49" si="19">M43/$M$73</f>
        <v>0</v>
      </c>
      <c r="O43" s="84"/>
      <c r="P43" s="20" t="str">
        <f>'Var Vorgaben'!$B$165</f>
        <v>Pneuwagen 2achsig, 3t (Ernte)</v>
      </c>
      <c r="Q43" s="401">
        <f>'Var Vorgaben'!$C$165</f>
        <v>0.1</v>
      </c>
      <c r="R43" s="46">
        <f>Q43*Q44</f>
        <v>9.125</v>
      </c>
      <c r="S43" s="61">
        <f>'Var Vorgaben'!$D$165*(1+Eingabeseite!$C$24)</f>
        <v>25</v>
      </c>
      <c r="T43" s="43">
        <f>R43*S43</f>
        <v>228.125</v>
      </c>
      <c r="U43" s="42">
        <f t="shared" ref="U43:U49" si="20">T43/$T$73</f>
        <v>2.6632714888524334E-3</v>
      </c>
      <c r="V43" s="84"/>
      <c r="W43" s="20" t="str">
        <f>'Var Vorgaben'!$B$165</f>
        <v>Pneuwagen 2achsig, 3t (Ernte)</v>
      </c>
      <c r="X43" s="401">
        <f>'Var Vorgaben'!$C$165</f>
        <v>0.1</v>
      </c>
      <c r="Y43" s="46">
        <f>X43*X44</f>
        <v>30.416666666666671</v>
      </c>
      <c r="Z43" s="61">
        <f>'Var Vorgaben'!$D$165*(1+Eingabeseite!$C$24)</f>
        <v>25</v>
      </c>
      <c r="AA43" s="43">
        <f>Y43*Z43</f>
        <v>760.41666666666674</v>
      </c>
      <c r="AB43" s="42">
        <f t="shared" ref="AB43:AB49" si="21">AA43/$AA$73</f>
        <v>2.2613369910170857E-2</v>
      </c>
      <c r="AC43" s="84"/>
      <c r="AD43" s="20" t="str">
        <f>'Var Vorgaben'!$B$165</f>
        <v>Pneuwagen 2achsig, 3t (Ernte)</v>
      </c>
      <c r="AE43" s="401">
        <f>'Var Vorgaben'!$C$165</f>
        <v>0.1</v>
      </c>
      <c r="AF43" s="46">
        <f>AE43*AE44</f>
        <v>83.333333333333343</v>
      </c>
      <c r="AG43" s="61">
        <f>'Var Vorgaben'!$D$165*(1+Eingabeseite!$C$24)</f>
        <v>25</v>
      </c>
      <c r="AH43" s="43">
        <f>AF43*AG43</f>
        <v>2083.3333333333335</v>
      </c>
      <c r="AI43" s="42">
        <f t="shared" ref="AI43:AI49" si="22">AH43/$AH$73</f>
        <v>3.7918601181212062E-2</v>
      </c>
      <c r="AJ43" s="84"/>
      <c r="AK43" s="20" t="str">
        <f>'Var Vorgaben'!$B$165</f>
        <v>Pneuwagen 2achsig, 3t (Ernte)</v>
      </c>
      <c r="AL43" s="401">
        <f>'Var Vorgaben'!$C$165</f>
        <v>0.1</v>
      </c>
      <c r="AM43" s="46">
        <f>AL43*AL44</f>
        <v>83.333333333333343</v>
      </c>
      <c r="AN43" s="61">
        <f>'Var Vorgaben'!$D$165*(1+Eingabeseite!$C$24)</f>
        <v>25</v>
      </c>
      <c r="AO43" s="43">
        <f>AM43*AN43</f>
        <v>2083.3333333333335</v>
      </c>
      <c r="AP43" s="42">
        <f t="shared" ref="AP43:AP49" si="23">AO43/$AO$73</f>
        <v>3.7054949253601435E-2</v>
      </c>
      <c r="AQ43" s="84"/>
      <c r="AR43" s="20" t="str">
        <f>'Var Vorgaben'!$B$165</f>
        <v>Pneuwagen 2achsig, 3t (Ernte)</v>
      </c>
      <c r="AS43" s="401">
        <f>'Var Vorgaben'!$C$165</f>
        <v>0.1</v>
      </c>
      <c r="AT43" s="46">
        <f>AS43*AS44</f>
        <v>83.333333333333343</v>
      </c>
      <c r="AU43" s="61">
        <f>'Var Vorgaben'!$D$165*(1+Eingabeseite!$C$24)</f>
        <v>25</v>
      </c>
      <c r="AV43" s="43">
        <f>AT43*AU43</f>
        <v>2083.3333333333335</v>
      </c>
      <c r="AW43" s="42">
        <f t="shared" ref="AW43:AW49" si="24">AV43/$AV$73</f>
        <v>3.8180247080071859E-2</v>
      </c>
      <c r="AX43" s="84"/>
      <c r="AY43" s="20" t="str">
        <f>'Var Vorgaben'!$B$165</f>
        <v>Pneuwagen 2achsig, 3t (Ernte)</v>
      </c>
      <c r="AZ43" s="401">
        <f>'Var Vorgaben'!$C$165</f>
        <v>0.1</v>
      </c>
      <c r="BA43" s="46">
        <f>AZ43*AZ44</f>
        <v>83.333333333333343</v>
      </c>
      <c r="BB43" s="61">
        <f>'Var Vorgaben'!$D$165*(1+Eingabeseite!$C$24)</f>
        <v>25</v>
      </c>
      <c r="BC43" s="43">
        <f>BA43*BB43</f>
        <v>2083.3333333333335</v>
      </c>
      <c r="BD43" s="42">
        <f t="shared" ref="BD43:BD49" si="25">BC43/$BC$73</f>
        <v>3.8318877423473917E-2</v>
      </c>
      <c r="BE43" s="84"/>
      <c r="BF43" s="20" t="str">
        <f>'Var Vorgaben'!$B$165</f>
        <v>Pneuwagen 2achsig, 3t (Ernte)</v>
      </c>
      <c r="BG43" s="401">
        <f>'Var Vorgaben'!$C$165</f>
        <v>0.1</v>
      </c>
      <c r="BH43" s="46">
        <f>BG43*BG44</f>
        <v>83.333333333333343</v>
      </c>
      <c r="BI43" s="61">
        <f>'Var Vorgaben'!$D$165*(1+Eingabeseite!$C$24)</f>
        <v>25</v>
      </c>
      <c r="BJ43" s="43">
        <f>BH43*BI43</f>
        <v>2083.3333333333335</v>
      </c>
      <c r="BK43" s="42">
        <f t="shared" ref="BK43:BK49" si="26">BJ43/$BJ$73</f>
        <v>2.0768383588754949E-2</v>
      </c>
      <c r="BL43" s="84"/>
      <c r="BM43" s="20" t="str">
        <f>'Var Vorgaben'!$B$165</f>
        <v>Pneuwagen 2achsig, 3t (Ernte)</v>
      </c>
      <c r="BN43" s="401">
        <f>'Var Vorgaben'!$C$165</f>
        <v>0.1</v>
      </c>
      <c r="BO43" s="46">
        <f>BN43*BN44</f>
        <v>83.333333333333343</v>
      </c>
      <c r="BP43" s="61">
        <f>'Var Vorgaben'!$D$165*(1+Eingabeseite!$C$24)</f>
        <v>25</v>
      </c>
      <c r="BQ43" s="43">
        <f>BO43*BP43</f>
        <v>2083.3333333333335</v>
      </c>
      <c r="BR43" s="42">
        <f t="shared" ref="BR43:BR49" si="27">BQ43/$BQ$73</f>
        <v>3.5332731466363426E-2</v>
      </c>
      <c r="BS43" s="84"/>
      <c r="BT43" s="20" t="str">
        <f>'Var Vorgaben'!$B$165</f>
        <v>Pneuwagen 2achsig, 3t (Ernte)</v>
      </c>
      <c r="BU43" s="401">
        <f>'Var Vorgaben'!$C$165</f>
        <v>0.1</v>
      </c>
      <c r="BV43" s="46">
        <f>BU43*BU44</f>
        <v>83.333333333333343</v>
      </c>
      <c r="BW43" s="61">
        <f>'Var Vorgaben'!$D$165*(1+Eingabeseite!$C$24)</f>
        <v>25</v>
      </c>
      <c r="BX43" s="43">
        <f>BV43*BW43</f>
        <v>2083.3333333333335</v>
      </c>
      <c r="BY43" s="42">
        <f t="shared" ref="BY43:BY49" si="28">BX43/$BX$73</f>
        <v>3.8419717986414581E-2</v>
      </c>
      <c r="BZ43" s="84"/>
      <c r="CA43" s="20" t="str">
        <f>'Var Vorgaben'!$B$165</f>
        <v>Pneuwagen 2achsig, 3t (Ernte)</v>
      </c>
      <c r="CB43" s="401">
        <f>'Var Vorgaben'!$C$165</f>
        <v>0.1</v>
      </c>
      <c r="CC43" s="46">
        <f>CB43*CB44</f>
        <v>83.333333333333343</v>
      </c>
      <c r="CD43" s="61">
        <f>'Var Vorgaben'!$D$165*(1+Eingabeseite!$C$24)</f>
        <v>25</v>
      </c>
      <c r="CE43" s="43">
        <f>CC43*CD43</f>
        <v>2083.3333333333335</v>
      </c>
      <c r="CF43" s="42">
        <f t="shared" ref="CF43:CF49" si="29">CE43/$CE$73</f>
        <v>3.7537716419365486E-2</v>
      </c>
      <c r="CG43" s="84"/>
      <c r="CH43" s="20" t="str">
        <f>'Var Vorgaben'!$B$165</f>
        <v>Pneuwagen 2achsig, 3t (Ernte)</v>
      </c>
      <c r="CI43" s="401">
        <f>'Var Vorgaben'!$C$165</f>
        <v>0.1</v>
      </c>
      <c r="CJ43" s="46">
        <f>CI43*CI44</f>
        <v>83.333333333333343</v>
      </c>
      <c r="CK43" s="61">
        <f>'Var Vorgaben'!$D$165*(1+Eingabeseite!$C$24)</f>
        <v>25</v>
      </c>
      <c r="CL43" s="43">
        <f>CJ43*CK43</f>
        <v>2083.3333333333335</v>
      </c>
      <c r="CM43" s="42">
        <f t="shared" ref="CM43:CM49" si="30">CL43/$CL$73</f>
        <v>3.8697661194758336E-2</v>
      </c>
      <c r="CN43" s="84"/>
      <c r="CO43" s="20" t="str">
        <f>'Var Vorgaben'!$B$165</f>
        <v>Pneuwagen 2achsig, 3t (Ernte)</v>
      </c>
      <c r="CP43" s="401">
        <f>'Var Vorgaben'!$C$165</f>
        <v>0.1</v>
      </c>
      <c r="CQ43" s="46">
        <f>CP43*CP44</f>
        <v>83.333333333333343</v>
      </c>
      <c r="CR43" s="61">
        <f>'Var Vorgaben'!$D$165*(1+Eingabeseite!$C$24)</f>
        <v>25</v>
      </c>
      <c r="CS43" s="43">
        <f>CQ43*CR43</f>
        <v>2083.3333333333335</v>
      </c>
      <c r="CT43" s="42">
        <f t="shared" ref="CT43:CT49" si="31">CS43/$CS$73</f>
        <v>3.884483663110376E-2</v>
      </c>
      <c r="CU43" s="84"/>
      <c r="CV43" s="20" t="str">
        <f>'Var Vorgaben'!$B$165</f>
        <v>Pneuwagen 2achsig, 3t (Ernte)</v>
      </c>
      <c r="CW43" s="401">
        <f>'Var Vorgaben'!$C$165</f>
        <v>0.1</v>
      </c>
      <c r="CX43" s="46">
        <f>CW43*CW44</f>
        <v>83.333333333333343</v>
      </c>
      <c r="CY43" s="61">
        <f>'Var Vorgaben'!$D$165*(1+Eingabeseite!$C$24)</f>
        <v>25</v>
      </c>
      <c r="CZ43" s="43">
        <f>CX43*CY43</f>
        <v>2083.3333333333335</v>
      </c>
      <c r="DA43" s="42">
        <f t="shared" ref="DA43:DA49" si="32">CZ43/$CZ$73</f>
        <v>3.7947128462316258E-2</v>
      </c>
      <c r="DB43" s="84"/>
      <c r="DC43" s="20" t="str">
        <f>'Var Vorgaben'!$B$165</f>
        <v>Pneuwagen 2achsig, 3t (Ernte)</v>
      </c>
      <c r="DD43" s="401">
        <f>'Var Vorgaben'!$C$165</f>
        <v>0.1</v>
      </c>
      <c r="DE43" s="46">
        <f>DD43*DD44</f>
        <v>83.333333333333343</v>
      </c>
      <c r="DF43" s="61">
        <f>'Var Vorgaben'!$D$165*(1+Eingabeseite!$C$24)</f>
        <v>25</v>
      </c>
      <c r="DG43" s="43">
        <f>DE43*DF43</f>
        <v>2083.3333333333335</v>
      </c>
      <c r="DH43" s="42">
        <f t="shared" ref="DH43:DH49" si="33">DG43/$DG$73</f>
        <v>3.5172441317332014E-2</v>
      </c>
    </row>
    <row r="44" spans="1:112" x14ac:dyDescent="0.2">
      <c r="B44" s="228" t="s">
        <v>182</v>
      </c>
      <c r="C44" s="400">
        <f>D67</f>
        <v>0</v>
      </c>
      <c r="D44" s="1"/>
      <c r="E44" s="227"/>
      <c r="F44" s="43"/>
      <c r="G44" s="42">
        <f t="shared" si="18"/>
        <v>0</v>
      </c>
      <c r="H44" s="17"/>
      <c r="I44" s="228" t="s">
        <v>182</v>
      </c>
      <c r="J44" s="400">
        <f>K67</f>
        <v>0</v>
      </c>
      <c r="K44" s="1"/>
      <c r="L44" s="227"/>
      <c r="M44" s="43"/>
      <c r="N44" s="42">
        <f t="shared" si="19"/>
        <v>0</v>
      </c>
      <c r="O44" s="17"/>
      <c r="P44" s="228" t="s">
        <v>182</v>
      </c>
      <c r="Q44" s="400">
        <f>R67</f>
        <v>91.25</v>
      </c>
      <c r="R44" s="1"/>
      <c r="S44" s="227"/>
      <c r="T44" s="43"/>
      <c r="U44" s="42">
        <f t="shared" si="20"/>
        <v>0</v>
      </c>
      <c r="V44" s="17"/>
      <c r="W44" s="228" t="s">
        <v>182</v>
      </c>
      <c r="X44" s="400">
        <f>Y67</f>
        <v>304.16666666666669</v>
      </c>
      <c r="Y44" s="1"/>
      <c r="Z44" s="227"/>
      <c r="AA44" s="43"/>
      <c r="AB44" s="42">
        <f t="shared" si="21"/>
        <v>0</v>
      </c>
      <c r="AC44" s="17"/>
      <c r="AD44" s="228" t="s">
        <v>182</v>
      </c>
      <c r="AE44" s="400">
        <f>AF67</f>
        <v>833.33333333333337</v>
      </c>
      <c r="AF44" s="1"/>
      <c r="AG44" s="227"/>
      <c r="AH44" s="43"/>
      <c r="AI44" s="42">
        <f t="shared" si="22"/>
        <v>0</v>
      </c>
      <c r="AJ44" s="17"/>
      <c r="AK44" s="228" t="s">
        <v>182</v>
      </c>
      <c r="AL44" s="400">
        <f>AM67</f>
        <v>833.33333333333337</v>
      </c>
      <c r="AM44" s="1"/>
      <c r="AN44" s="227"/>
      <c r="AO44" s="43"/>
      <c r="AP44" s="42">
        <f t="shared" si="23"/>
        <v>0</v>
      </c>
      <c r="AQ44" s="17"/>
      <c r="AR44" s="228" t="s">
        <v>182</v>
      </c>
      <c r="AS44" s="400">
        <f>AT67</f>
        <v>833.33333333333337</v>
      </c>
      <c r="AT44" s="1"/>
      <c r="AU44" s="227"/>
      <c r="AV44" s="43"/>
      <c r="AW44" s="42">
        <f t="shared" si="24"/>
        <v>0</v>
      </c>
      <c r="AX44" s="17"/>
      <c r="AY44" s="228" t="s">
        <v>182</v>
      </c>
      <c r="AZ44" s="400">
        <f>BA67</f>
        <v>833.33333333333337</v>
      </c>
      <c r="BA44" s="1"/>
      <c r="BB44" s="227"/>
      <c r="BC44" s="43"/>
      <c r="BD44" s="42">
        <f t="shared" si="25"/>
        <v>0</v>
      </c>
      <c r="BE44" s="17"/>
      <c r="BF44" s="228" t="s">
        <v>182</v>
      </c>
      <c r="BG44" s="400">
        <f>BH67</f>
        <v>833.33333333333337</v>
      </c>
      <c r="BH44" s="1"/>
      <c r="BI44" s="227"/>
      <c r="BJ44" s="43"/>
      <c r="BK44" s="42">
        <f t="shared" si="26"/>
        <v>0</v>
      </c>
      <c r="BL44" s="17"/>
      <c r="BM44" s="228" t="s">
        <v>182</v>
      </c>
      <c r="BN44" s="400">
        <f>BO67</f>
        <v>833.33333333333337</v>
      </c>
      <c r="BO44" s="1"/>
      <c r="BP44" s="227"/>
      <c r="BQ44" s="43"/>
      <c r="BR44" s="42">
        <f t="shared" si="27"/>
        <v>0</v>
      </c>
      <c r="BS44" s="17"/>
      <c r="BT44" s="228" t="s">
        <v>182</v>
      </c>
      <c r="BU44" s="400">
        <f>BV67</f>
        <v>833.33333333333337</v>
      </c>
      <c r="BV44" s="1"/>
      <c r="BW44" s="227"/>
      <c r="BX44" s="43"/>
      <c r="BY44" s="42">
        <f t="shared" si="28"/>
        <v>0</v>
      </c>
      <c r="BZ44" s="17"/>
      <c r="CA44" s="228" t="s">
        <v>182</v>
      </c>
      <c r="CB44" s="400">
        <f>CC67</f>
        <v>833.33333333333337</v>
      </c>
      <c r="CC44" s="1"/>
      <c r="CD44" s="227"/>
      <c r="CE44" s="43"/>
      <c r="CF44" s="42">
        <f t="shared" si="29"/>
        <v>0</v>
      </c>
      <c r="CG44" s="17"/>
      <c r="CH44" s="228" t="s">
        <v>182</v>
      </c>
      <c r="CI44" s="400">
        <f>CJ67</f>
        <v>833.33333333333337</v>
      </c>
      <c r="CJ44" s="1"/>
      <c r="CK44" s="227"/>
      <c r="CL44" s="43"/>
      <c r="CM44" s="42">
        <f t="shared" si="30"/>
        <v>0</v>
      </c>
      <c r="CN44" s="17"/>
      <c r="CO44" s="228" t="s">
        <v>182</v>
      </c>
      <c r="CP44" s="400">
        <f>CQ67</f>
        <v>833.33333333333337</v>
      </c>
      <c r="CQ44" s="1"/>
      <c r="CR44" s="227"/>
      <c r="CS44" s="43"/>
      <c r="CT44" s="42">
        <f t="shared" si="31"/>
        <v>0</v>
      </c>
      <c r="CU44" s="17"/>
      <c r="CV44" s="228" t="s">
        <v>182</v>
      </c>
      <c r="CW44" s="400">
        <f>CX67</f>
        <v>833.33333333333337</v>
      </c>
      <c r="CX44" s="1"/>
      <c r="CY44" s="227"/>
      <c r="CZ44" s="43"/>
      <c r="DA44" s="42">
        <f t="shared" si="32"/>
        <v>0</v>
      </c>
      <c r="DB44" s="17"/>
      <c r="DC44" s="228" t="s">
        <v>182</v>
      </c>
      <c r="DD44" s="400">
        <f>DE67</f>
        <v>833.33333333333337</v>
      </c>
      <c r="DE44" s="1"/>
      <c r="DF44" s="227"/>
      <c r="DG44" s="43"/>
      <c r="DH44" s="42">
        <f t="shared" si="33"/>
        <v>0</v>
      </c>
    </row>
    <row r="45" spans="1:112" x14ac:dyDescent="0.2">
      <c r="B45" s="20" t="str">
        <f>'Var Vorgaben'!$B$166</f>
        <v>Mulchgerät mit Schwenkarm, 2.8m</v>
      </c>
      <c r="C45" s="45">
        <f>'Var Vorgaben'!$E$166</f>
        <v>6</v>
      </c>
      <c r="D45" s="50">
        <f>'Var Vorgaben'!$C$166</f>
        <v>0.5</v>
      </c>
      <c r="E45" s="61">
        <f>'Var Vorgaben'!$D$166*(1+Eingabeseite!$C$24)</f>
        <v>42</v>
      </c>
      <c r="F45" s="43">
        <f>C45*E45</f>
        <v>252</v>
      </c>
      <c r="G45" s="42">
        <f t="shared" si="18"/>
        <v>2.0878996016289165E-2</v>
      </c>
      <c r="H45" s="17"/>
      <c r="I45" s="20" t="str">
        <f>'Var Vorgaben'!$B$166</f>
        <v>Mulchgerät mit Schwenkarm, 2.8m</v>
      </c>
      <c r="J45" s="45">
        <f>'Var Vorgaben'!$E$166</f>
        <v>6</v>
      </c>
      <c r="K45" s="50">
        <f>'Var Vorgaben'!$C$166</f>
        <v>0.5</v>
      </c>
      <c r="L45" s="61">
        <f>'Var Vorgaben'!$D$166*(1+Eingabeseite!$C$24)</f>
        <v>42</v>
      </c>
      <c r="M45" s="43">
        <f>J45*L45</f>
        <v>252</v>
      </c>
      <c r="N45" s="42">
        <f t="shared" si="19"/>
        <v>2.0653415421084523E-2</v>
      </c>
      <c r="O45" s="17"/>
      <c r="P45" s="20" t="str">
        <f>'Var Vorgaben'!$B$166</f>
        <v>Mulchgerät mit Schwenkarm, 2.8m</v>
      </c>
      <c r="Q45" s="45">
        <f>'Var Vorgaben'!$E$166</f>
        <v>6</v>
      </c>
      <c r="R45" s="50">
        <f>'Var Vorgaben'!$C$166</f>
        <v>0.5</v>
      </c>
      <c r="S45" s="61">
        <f>'Var Vorgaben'!$D$166*(1+Eingabeseite!$C$24)</f>
        <v>42</v>
      </c>
      <c r="T45" s="43">
        <f>Q45*S45</f>
        <v>252</v>
      </c>
      <c r="U45" s="42">
        <f t="shared" si="20"/>
        <v>2.9420029159049343E-3</v>
      </c>
      <c r="V45" s="17"/>
      <c r="W45" s="20" t="str">
        <f>'Var Vorgaben'!$B$166</f>
        <v>Mulchgerät mit Schwenkarm, 2.8m</v>
      </c>
      <c r="X45" s="45">
        <f>'Var Vorgaben'!$E$166</f>
        <v>6</v>
      </c>
      <c r="Y45" s="50">
        <f>'Var Vorgaben'!$C$166</f>
        <v>0.5</v>
      </c>
      <c r="Z45" s="61">
        <f>'Var Vorgaben'!$D$166*(1+Eingabeseite!$C$24)</f>
        <v>42</v>
      </c>
      <c r="AA45" s="43">
        <f>X45*Z45</f>
        <v>252</v>
      </c>
      <c r="AB45" s="42">
        <f t="shared" si="21"/>
        <v>7.4940088337925115E-3</v>
      </c>
      <c r="AC45" s="17"/>
      <c r="AD45" s="20" t="str">
        <f>'Var Vorgaben'!$B$166</f>
        <v>Mulchgerät mit Schwenkarm, 2.8m</v>
      </c>
      <c r="AE45" s="45">
        <f>'Var Vorgaben'!$E$166</f>
        <v>6</v>
      </c>
      <c r="AF45" s="50">
        <f>'Var Vorgaben'!$C$166</f>
        <v>0.5</v>
      </c>
      <c r="AG45" s="61">
        <f>'Var Vorgaben'!$D$166*(1+Eingabeseite!$C$24)</f>
        <v>42</v>
      </c>
      <c r="AH45" s="43">
        <f>AE45*AG45</f>
        <v>252</v>
      </c>
      <c r="AI45" s="42">
        <f t="shared" si="22"/>
        <v>4.5866339988794103E-3</v>
      </c>
      <c r="AJ45" s="17"/>
      <c r="AK45" s="20" t="str">
        <f>'Var Vorgaben'!$B$166</f>
        <v>Mulchgerät mit Schwenkarm, 2.8m</v>
      </c>
      <c r="AL45" s="45">
        <f>'Var Vorgaben'!$E$166</f>
        <v>6</v>
      </c>
      <c r="AM45" s="50">
        <f>'Var Vorgaben'!$C$166</f>
        <v>0.5</v>
      </c>
      <c r="AN45" s="61">
        <f>'Var Vorgaben'!$D$166*(1+Eingabeseite!$C$24)</f>
        <v>42</v>
      </c>
      <c r="AO45" s="43">
        <f>AL45*AN45</f>
        <v>252</v>
      </c>
      <c r="AP45" s="42">
        <f t="shared" si="23"/>
        <v>4.4821666617156294E-3</v>
      </c>
      <c r="AQ45" s="17"/>
      <c r="AR45" s="20" t="str">
        <f>'Var Vorgaben'!$B$166</f>
        <v>Mulchgerät mit Schwenkarm, 2.8m</v>
      </c>
      <c r="AS45" s="45">
        <f>'Var Vorgaben'!$E$166</f>
        <v>6</v>
      </c>
      <c r="AT45" s="50">
        <f>'Var Vorgaben'!$C$166</f>
        <v>0.5</v>
      </c>
      <c r="AU45" s="61">
        <f>'Var Vorgaben'!$D$166*(1+Eingabeseite!$C$24)</f>
        <v>42</v>
      </c>
      <c r="AV45" s="43">
        <f>AS45*AU45</f>
        <v>252</v>
      </c>
      <c r="AW45" s="42">
        <f t="shared" si="24"/>
        <v>4.6182826868054923E-3</v>
      </c>
      <c r="AX45" s="17"/>
      <c r="AY45" s="20" t="str">
        <f>'Var Vorgaben'!$B$166</f>
        <v>Mulchgerät mit Schwenkarm, 2.8m</v>
      </c>
      <c r="AZ45" s="45">
        <f>'Var Vorgaben'!$E$166</f>
        <v>6</v>
      </c>
      <c r="BA45" s="50">
        <f>'Var Vorgaben'!$C$166</f>
        <v>0.5</v>
      </c>
      <c r="BB45" s="61">
        <f>'Var Vorgaben'!$D$166*(1+Eingabeseite!$C$24)</f>
        <v>42</v>
      </c>
      <c r="BC45" s="43">
        <f>AZ45*BB45</f>
        <v>252</v>
      </c>
      <c r="BD45" s="42">
        <f t="shared" si="25"/>
        <v>4.6350514131434043E-3</v>
      </c>
      <c r="BE45" s="17"/>
      <c r="BF45" s="20" t="str">
        <f>'Var Vorgaben'!$B$166</f>
        <v>Mulchgerät mit Schwenkarm, 2.8m</v>
      </c>
      <c r="BG45" s="45">
        <f>'Var Vorgaben'!$E$166</f>
        <v>6</v>
      </c>
      <c r="BH45" s="50">
        <f>'Var Vorgaben'!$C$166</f>
        <v>0.5</v>
      </c>
      <c r="BI45" s="61">
        <f>'Var Vorgaben'!$D$166*(1+Eingabeseite!$C$24)</f>
        <v>42</v>
      </c>
      <c r="BJ45" s="43">
        <f>BG45*BI45</f>
        <v>252</v>
      </c>
      <c r="BK45" s="42">
        <f t="shared" si="26"/>
        <v>2.5121436788957982E-3</v>
      </c>
      <c r="BL45" s="17"/>
      <c r="BM45" s="20" t="str">
        <f>'Var Vorgaben'!$B$166</f>
        <v>Mulchgerät mit Schwenkarm, 2.8m</v>
      </c>
      <c r="BN45" s="45">
        <f>'Var Vorgaben'!$E$166</f>
        <v>6</v>
      </c>
      <c r="BO45" s="50">
        <f>'Var Vorgaben'!$C$166</f>
        <v>0.5</v>
      </c>
      <c r="BP45" s="61">
        <f>'Var Vorgaben'!$D$166*(1+Eingabeseite!$C$24)</f>
        <v>42</v>
      </c>
      <c r="BQ45" s="43">
        <f>BN45*BP45</f>
        <v>252</v>
      </c>
      <c r="BR45" s="42">
        <f t="shared" si="27"/>
        <v>4.2738471981713195E-3</v>
      </c>
      <c r="BS45" s="17"/>
      <c r="BT45" s="20" t="str">
        <f>'Var Vorgaben'!$B$166</f>
        <v>Mulchgerät mit Schwenkarm, 2.8m</v>
      </c>
      <c r="BU45" s="45">
        <f>'Var Vorgaben'!$E$166</f>
        <v>6</v>
      </c>
      <c r="BV45" s="50">
        <f>'Var Vorgaben'!$C$166</f>
        <v>0.5</v>
      </c>
      <c r="BW45" s="61">
        <f>'Var Vorgaben'!$D$166*(1+Eingabeseite!$C$24)</f>
        <v>42</v>
      </c>
      <c r="BX45" s="43">
        <f>BU45*BW45</f>
        <v>252</v>
      </c>
      <c r="BY45" s="42">
        <f t="shared" si="28"/>
        <v>4.6472490876367069E-3</v>
      </c>
      <c r="BZ45" s="17"/>
      <c r="CA45" s="20" t="str">
        <f>'Var Vorgaben'!$B$166</f>
        <v>Mulchgerät mit Schwenkarm, 2.8m</v>
      </c>
      <c r="CB45" s="45">
        <f>'Var Vorgaben'!$E$166</f>
        <v>6</v>
      </c>
      <c r="CC45" s="50">
        <f>'Var Vorgaben'!$C$166</f>
        <v>0.5</v>
      </c>
      <c r="CD45" s="61">
        <f>'Var Vorgaben'!$D$166*(1+Eingabeseite!$C$24)</f>
        <v>42</v>
      </c>
      <c r="CE45" s="43">
        <f>CB45*CD45</f>
        <v>252</v>
      </c>
      <c r="CF45" s="42">
        <f t="shared" si="29"/>
        <v>4.540562178086449E-3</v>
      </c>
      <c r="CG45" s="17"/>
      <c r="CH45" s="20" t="str">
        <f>'Var Vorgaben'!$B$166</f>
        <v>Mulchgerät mit Schwenkarm, 2.8m</v>
      </c>
      <c r="CI45" s="45">
        <f>'Var Vorgaben'!$E$166</f>
        <v>6</v>
      </c>
      <c r="CJ45" s="50">
        <f>'Var Vorgaben'!$C$166</f>
        <v>0.5</v>
      </c>
      <c r="CK45" s="61">
        <f>'Var Vorgaben'!$D$166*(1+Eingabeseite!$C$24)</f>
        <v>42</v>
      </c>
      <c r="CL45" s="43">
        <f>CI45*CK45</f>
        <v>252</v>
      </c>
      <c r="CM45" s="42">
        <f t="shared" si="30"/>
        <v>4.6808690981179676E-3</v>
      </c>
      <c r="CN45" s="17"/>
      <c r="CO45" s="20" t="str">
        <f>'Var Vorgaben'!$B$166</f>
        <v>Mulchgerät mit Schwenkarm, 2.8m</v>
      </c>
      <c r="CP45" s="45">
        <f>'Var Vorgaben'!$E$166</f>
        <v>6</v>
      </c>
      <c r="CQ45" s="50">
        <f>'Var Vorgaben'!$C$166</f>
        <v>0.5</v>
      </c>
      <c r="CR45" s="61">
        <f>'Var Vorgaben'!$D$166*(1+Eingabeseite!$C$24)</f>
        <v>42</v>
      </c>
      <c r="CS45" s="43">
        <f>CP45*CR45</f>
        <v>252</v>
      </c>
      <c r="CT45" s="42">
        <f t="shared" si="31"/>
        <v>4.6986714388983098E-3</v>
      </c>
      <c r="CU45" s="17"/>
      <c r="CV45" s="20" t="str">
        <f>'Var Vorgaben'!$B$166</f>
        <v>Mulchgerät mit Schwenkarm, 2.8m</v>
      </c>
      <c r="CW45" s="45">
        <f>'Var Vorgaben'!$E$166</f>
        <v>6</v>
      </c>
      <c r="CX45" s="50">
        <f>'Var Vorgaben'!$C$166</f>
        <v>0.5</v>
      </c>
      <c r="CY45" s="61">
        <f>'Var Vorgaben'!$D$166*(1+Eingabeseite!$C$24)</f>
        <v>42</v>
      </c>
      <c r="CZ45" s="43">
        <f>CW45*CY45</f>
        <v>252</v>
      </c>
      <c r="DA45" s="42">
        <f t="shared" si="32"/>
        <v>4.5900846588017748E-3</v>
      </c>
      <c r="DB45" s="17"/>
      <c r="DC45" s="20" t="str">
        <f>'Var Vorgaben'!$B$166</f>
        <v>Mulchgerät mit Schwenkarm, 2.8m</v>
      </c>
      <c r="DD45" s="45">
        <f>'Var Vorgaben'!$E$166</f>
        <v>6</v>
      </c>
      <c r="DE45" s="50">
        <f>'Var Vorgaben'!$C$166</f>
        <v>0.5</v>
      </c>
      <c r="DF45" s="61">
        <f>'Var Vorgaben'!$D$166*(1+Eingabeseite!$C$24)</f>
        <v>42</v>
      </c>
      <c r="DG45" s="43">
        <f>DD45*DF45</f>
        <v>252</v>
      </c>
      <c r="DH45" s="42">
        <f t="shared" si="33"/>
        <v>4.2544585017444802E-3</v>
      </c>
    </row>
    <row r="46" spans="1:112" x14ac:dyDescent="0.2">
      <c r="C46" s="45"/>
      <c r="D46" s="50"/>
      <c r="E46" s="61"/>
      <c r="F46" s="43"/>
      <c r="G46" s="42">
        <f t="shared" si="18"/>
        <v>0</v>
      </c>
      <c r="H46" s="17"/>
      <c r="I46" s="20"/>
      <c r="J46" s="45"/>
      <c r="K46" s="50"/>
      <c r="L46" s="61"/>
      <c r="M46" s="43"/>
      <c r="N46" s="42">
        <f t="shared" si="19"/>
        <v>0</v>
      </c>
      <c r="O46" s="17"/>
      <c r="P46" s="1351" t="s">
        <v>467</v>
      </c>
      <c r="Q46" s="45"/>
      <c r="R46" s="50">
        <f>'Var Vorgaben'!$C$168</f>
        <v>100</v>
      </c>
      <c r="S46" s="61">
        <f>'Var Vorgaben'!$I$168*(1+Eingabeseite!$C$24)</f>
        <v>17.5</v>
      </c>
      <c r="T46" s="43">
        <f>R46*S46</f>
        <v>1750</v>
      </c>
      <c r="U46" s="42">
        <f t="shared" si="20"/>
        <v>2.0430575804895379E-2</v>
      </c>
      <c r="V46" s="17"/>
      <c r="W46" s="4" t="s">
        <v>467</v>
      </c>
      <c r="X46" s="45"/>
      <c r="Y46" s="50">
        <f>'Var Vorgaben'!$C$168</f>
        <v>100</v>
      </c>
      <c r="Z46" s="61">
        <f>'Var Vorgaben'!$I$168*(1+Eingabeseite!$C$24)</f>
        <v>17.5</v>
      </c>
      <c r="AA46" s="43">
        <f>Y46*Z46</f>
        <v>1750</v>
      </c>
      <c r="AB46" s="42">
        <f t="shared" si="21"/>
        <v>5.2041728012447996E-2</v>
      </c>
      <c r="AC46" s="17"/>
      <c r="AD46" s="4" t="s">
        <v>467</v>
      </c>
      <c r="AE46" s="45"/>
      <c r="AF46" s="50">
        <f>'Var Vorgaben'!$C$168</f>
        <v>100</v>
      </c>
      <c r="AG46" s="61">
        <f>'Var Vorgaben'!$I$168*(1+Eingabeseite!$C$24)</f>
        <v>17.5</v>
      </c>
      <c r="AH46" s="43">
        <f>AF46*AG46</f>
        <v>1750</v>
      </c>
      <c r="AI46" s="42">
        <f t="shared" si="22"/>
        <v>3.1851624992218129E-2</v>
      </c>
      <c r="AJ46" s="17"/>
      <c r="AK46" s="4" t="s">
        <v>467</v>
      </c>
      <c r="AL46" s="45"/>
      <c r="AM46" s="50">
        <f>'Var Vorgaben'!$C$168</f>
        <v>100</v>
      </c>
      <c r="AN46" s="61">
        <f>'Var Vorgaben'!$I$168*(1+Eingabeseite!$C$24)</f>
        <v>17.5</v>
      </c>
      <c r="AO46" s="43">
        <f>AM46*AN46</f>
        <v>1750</v>
      </c>
      <c r="AP46" s="42">
        <f t="shared" si="23"/>
        <v>3.1126157373025203E-2</v>
      </c>
      <c r="AQ46" s="17"/>
      <c r="AR46" s="4" t="s">
        <v>467</v>
      </c>
      <c r="AS46" s="45"/>
      <c r="AT46" s="50">
        <f>'Var Vorgaben'!$C$168</f>
        <v>100</v>
      </c>
      <c r="AU46" s="61">
        <f>'Var Vorgaben'!$I$168*(1+Eingabeseite!$C$24)</f>
        <v>17.5</v>
      </c>
      <c r="AV46" s="43">
        <f>AT46*AU46</f>
        <v>1750</v>
      </c>
      <c r="AW46" s="42">
        <f t="shared" si="24"/>
        <v>3.2071407547260358E-2</v>
      </c>
      <c r="AX46" s="17"/>
      <c r="AY46" s="4" t="s">
        <v>467</v>
      </c>
      <c r="AZ46" s="45"/>
      <c r="BA46" s="50">
        <f>'Var Vorgaben'!$C$168</f>
        <v>100</v>
      </c>
      <c r="BB46" s="61">
        <f>'Var Vorgaben'!$I$168*(1+Eingabeseite!$C$24)</f>
        <v>17.5</v>
      </c>
      <c r="BC46" s="43">
        <f>BA46*BB46</f>
        <v>1750</v>
      </c>
      <c r="BD46" s="42">
        <f t="shared" si="25"/>
        <v>3.2187857035718088E-2</v>
      </c>
      <c r="BE46" s="17"/>
      <c r="BF46" s="4" t="s">
        <v>467</v>
      </c>
      <c r="BG46" s="45"/>
      <c r="BH46" s="50">
        <f>'Var Vorgaben'!$C$168</f>
        <v>100</v>
      </c>
      <c r="BI46" s="61">
        <f>'Var Vorgaben'!$I$168*(1+Eingabeseite!$C$24)</f>
        <v>17.5</v>
      </c>
      <c r="BJ46" s="43">
        <f>BH46*BI46</f>
        <v>1750</v>
      </c>
      <c r="BK46" s="42">
        <f t="shared" si="26"/>
        <v>1.7445442214554154E-2</v>
      </c>
      <c r="BL46" s="17"/>
      <c r="BM46" s="4" t="s">
        <v>467</v>
      </c>
      <c r="BN46" s="45"/>
      <c r="BO46" s="50">
        <f>'Var Vorgaben'!$C$168</f>
        <v>100</v>
      </c>
      <c r="BP46" s="61">
        <f>'Var Vorgaben'!$I$168*(1+Eingabeseite!$C$24)</f>
        <v>17.5</v>
      </c>
      <c r="BQ46" s="43">
        <f>BO46*BP46</f>
        <v>1750</v>
      </c>
      <c r="BR46" s="42">
        <f t="shared" si="27"/>
        <v>2.9679494431745276E-2</v>
      </c>
      <c r="BS46" s="17"/>
      <c r="BT46" s="4" t="s">
        <v>467</v>
      </c>
      <c r="BU46" s="45"/>
      <c r="BV46" s="50">
        <f>'Var Vorgaben'!$C$168</f>
        <v>100</v>
      </c>
      <c r="BW46" s="61">
        <f>'Var Vorgaben'!$I$168*(1+Eingabeseite!$C$24)</f>
        <v>17.5</v>
      </c>
      <c r="BX46" s="43">
        <f>BV46*BW46</f>
        <v>1750</v>
      </c>
      <c r="BY46" s="42">
        <f t="shared" si="28"/>
        <v>3.227256310858824E-2</v>
      </c>
      <c r="BZ46" s="17"/>
      <c r="CA46" s="4" t="s">
        <v>467</v>
      </c>
      <c r="CB46" s="45"/>
      <c r="CC46" s="50">
        <f>'Var Vorgaben'!$C$168</f>
        <v>100</v>
      </c>
      <c r="CD46" s="61">
        <f>'Var Vorgaben'!$I$168*(1+Eingabeseite!$C$24)</f>
        <v>17.5</v>
      </c>
      <c r="CE46" s="43">
        <f>CC46*CD46</f>
        <v>1750</v>
      </c>
      <c r="CF46" s="42">
        <f t="shared" si="29"/>
        <v>3.1531681792267008E-2</v>
      </c>
      <c r="CG46" s="17"/>
      <c r="CH46" s="4" t="s">
        <v>467</v>
      </c>
      <c r="CI46" s="45"/>
      <c r="CJ46" s="50">
        <f>'Var Vorgaben'!$C$168</f>
        <v>100</v>
      </c>
      <c r="CK46" s="61">
        <f>'Var Vorgaben'!$I$168*(1+Eingabeseite!$C$24)</f>
        <v>17.5</v>
      </c>
      <c r="CL46" s="43">
        <f>CJ46*CK46</f>
        <v>1750</v>
      </c>
      <c r="CM46" s="42">
        <f t="shared" si="30"/>
        <v>3.2506035403596999E-2</v>
      </c>
      <c r="CN46" s="17"/>
      <c r="CO46" s="4" t="s">
        <v>467</v>
      </c>
      <c r="CP46" s="45"/>
      <c r="CQ46" s="50">
        <f>'Var Vorgaben'!$C$168</f>
        <v>100</v>
      </c>
      <c r="CR46" s="61">
        <f>'Var Vorgaben'!$I$168*(1+Eingabeseite!$C$24)</f>
        <v>17.5</v>
      </c>
      <c r="CS46" s="43">
        <f>CQ46*CR46</f>
        <v>1750</v>
      </c>
      <c r="CT46" s="42">
        <f t="shared" si="31"/>
        <v>3.2629662770127153E-2</v>
      </c>
      <c r="CU46" s="17"/>
      <c r="CV46" s="4" t="s">
        <v>467</v>
      </c>
      <c r="CW46" s="45"/>
      <c r="CX46" s="50">
        <f>'Var Vorgaben'!$C$168</f>
        <v>100</v>
      </c>
      <c r="CY46" s="61">
        <f>'Var Vorgaben'!$I$168*(1+Eingabeseite!$C$24)</f>
        <v>17.5</v>
      </c>
      <c r="CZ46" s="43">
        <f>CX46*CY46</f>
        <v>1750</v>
      </c>
      <c r="DA46" s="42">
        <f t="shared" si="32"/>
        <v>3.1875587908345659E-2</v>
      </c>
      <c r="DB46" s="17"/>
      <c r="DC46" s="4" t="s">
        <v>467</v>
      </c>
      <c r="DD46" s="45"/>
      <c r="DE46" s="50">
        <f>'Var Vorgaben'!$C$168</f>
        <v>100</v>
      </c>
      <c r="DF46" s="61">
        <f>'Var Vorgaben'!$I$168*(1+Eingabeseite!$C$24)</f>
        <v>17.5</v>
      </c>
      <c r="DG46" s="43">
        <f>DE46*DF46</f>
        <v>1750</v>
      </c>
      <c r="DH46" s="42">
        <f t="shared" si="33"/>
        <v>2.9544850706558892E-2</v>
      </c>
    </row>
    <row r="47" spans="1:112" ht="13.5" thickBot="1" x14ac:dyDescent="0.25">
      <c r="B47" s="20" t="str">
        <f>'Var Vorgaben'!$B$167</f>
        <v>Schnittholzhacker</v>
      </c>
      <c r="C47" s="57">
        <f>'Var Vorgaben'!$E$167</f>
        <v>1</v>
      </c>
      <c r="D47" s="686">
        <f>'Var Vorgaben'!$C$167</f>
        <v>3</v>
      </c>
      <c r="E47" s="61">
        <f>'Var Vorgaben'!$D$167*(1+Eingabeseite!$C$24)</f>
        <v>68.3</v>
      </c>
      <c r="F47" s="198">
        <f>C47*E47</f>
        <v>68.3</v>
      </c>
      <c r="G47" s="42">
        <f t="shared" si="18"/>
        <v>5.6588707456847213E-3</v>
      </c>
      <c r="H47" s="17"/>
      <c r="I47" s="20" t="str">
        <f>'Var Vorgaben'!$B$167</f>
        <v>Schnittholzhacker</v>
      </c>
      <c r="J47" s="57">
        <f>'Var Vorgaben'!$E$167</f>
        <v>1</v>
      </c>
      <c r="K47" s="686">
        <f>'Var Vorgaben'!$C$167</f>
        <v>3</v>
      </c>
      <c r="L47" s="61">
        <f>'Var Vorgaben'!$D$167*(1+Eingabeseite!$C$24)</f>
        <v>68.3</v>
      </c>
      <c r="M47" s="198">
        <f>J47*L47</f>
        <v>68.3</v>
      </c>
      <c r="N47" s="42">
        <f t="shared" si="19"/>
        <v>5.5977312430955271E-3</v>
      </c>
      <c r="O47" s="17"/>
      <c r="P47" s="20" t="str">
        <f>'Var Vorgaben'!$B$167</f>
        <v>Schnittholzhacker</v>
      </c>
      <c r="Q47" s="57">
        <f>'Var Vorgaben'!$E$167</f>
        <v>1</v>
      </c>
      <c r="R47" s="686">
        <f>'Var Vorgaben'!$C$167</f>
        <v>3</v>
      </c>
      <c r="S47" s="61">
        <f>'Var Vorgaben'!$D$167*(1+Eingabeseite!$C$24)</f>
        <v>68.3</v>
      </c>
      <c r="T47" s="198">
        <f>Q47*S47</f>
        <v>68.3</v>
      </c>
      <c r="U47" s="42">
        <f t="shared" si="20"/>
        <v>7.973761871282024E-4</v>
      </c>
      <c r="V47" s="17"/>
      <c r="W47" s="20" t="str">
        <f>'Var Vorgaben'!$B$167</f>
        <v>Schnittholzhacker</v>
      </c>
      <c r="X47" s="57">
        <f>'Var Vorgaben'!$E$167</f>
        <v>1</v>
      </c>
      <c r="Y47" s="686">
        <f>'Var Vorgaben'!$C$167</f>
        <v>3</v>
      </c>
      <c r="Z47" s="61">
        <f>'Var Vorgaben'!$D$167*(1+Eingabeseite!$C$24)</f>
        <v>68.3</v>
      </c>
      <c r="AA47" s="198">
        <f>X47*Z47</f>
        <v>68.3</v>
      </c>
      <c r="AB47" s="42">
        <f t="shared" si="21"/>
        <v>2.031114299000113E-3</v>
      </c>
      <c r="AC47" s="17"/>
      <c r="AD47" s="20" t="str">
        <f>'Var Vorgaben'!$B$167</f>
        <v>Schnittholzhacker</v>
      </c>
      <c r="AE47" s="57">
        <f>'Var Vorgaben'!$E$167</f>
        <v>1</v>
      </c>
      <c r="AF47" s="686">
        <f>'Var Vorgaben'!$C$167</f>
        <v>3</v>
      </c>
      <c r="AG47" s="61">
        <f>'Var Vorgaben'!$D$167*(1+Eingabeseite!$C$24)</f>
        <v>68.3</v>
      </c>
      <c r="AH47" s="198">
        <f>AE47*AG47</f>
        <v>68.3</v>
      </c>
      <c r="AI47" s="42">
        <f t="shared" si="22"/>
        <v>1.243123421124856E-3</v>
      </c>
      <c r="AJ47" s="17"/>
      <c r="AK47" s="20" t="str">
        <f>'Var Vorgaben'!$B$167</f>
        <v>Schnittholzhacker</v>
      </c>
      <c r="AL47" s="57">
        <f>'Var Vorgaben'!$E$167</f>
        <v>1</v>
      </c>
      <c r="AM47" s="686">
        <f>'Var Vorgaben'!$C$167</f>
        <v>3</v>
      </c>
      <c r="AN47" s="61">
        <f>'Var Vorgaben'!$D$167*(1+Eingabeseite!$C$24)</f>
        <v>68.3</v>
      </c>
      <c r="AO47" s="198">
        <f>AL47*AN47</f>
        <v>68.3</v>
      </c>
      <c r="AP47" s="42">
        <f t="shared" si="23"/>
        <v>1.2148094563300693E-3</v>
      </c>
      <c r="AQ47" s="17"/>
      <c r="AR47" s="20" t="str">
        <f>'Var Vorgaben'!$B$167</f>
        <v>Schnittholzhacker</v>
      </c>
      <c r="AS47" s="57">
        <f>'Var Vorgaben'!$E$167</f>
        <v>1</v>
      </c>
      <c r="AT47" s="686">
        <f>'Var Vorgaben'!$C$167</f>
        <v>3</v>
      </c>
      <c r="AU47" s="61">
        <f>'Var Vorgaben'!$D$167*(1+Eingabeseite!$C$24)</f>
        <v>68.3</v>
      </c>
      <c r="AV47" s="198">
        <f>AS47*AU47</f>
        <v>68.3</v>
      </c>
      <c r="AW47" s="42">
        <f t="shared" si="24"/>
        <v>1.2517012202730758E-3</v>
      </c>
      <c r="AX47" s="17"/>
      <c r="AY47" s="20" t="str">
        <f>'Var Vorgaben'!$B$167</f>
        <v>Schnittholzhacker</v>
      </c>
      <c r="AZ47" s="57">
        <f>'Var Vorgaben'!$E$167</f>
        <v>1</v>
      </c>
      <c r="BA47" s="686">
        <f>'Var Vorgaben'!$C$167</f>
        <v>3</v>
      </c>
      <c r="BB47" s="61">
        <f>'Var Vorgaben'!$D$167*(1+Eingabeseite!$C$24)</f>
        <v>68.3</v>
      </c>
      <c r="BC47" s="198">
        <f>AZ47*BB47</f>
        <v>68.3</v>
      </c>
      <c r="BD47" s="42">
        <f t="shared" si="25"/>
        <v>1.2562460774511687E-3</v>
      </c>
      <c r="BE47" s="17"/>
      <c r="BF47" s="20" t="str">
        <f>'Var Vorgaben'!$B$167</f>
        <v>Schnittholzhacker</v>
      </c>
      <c r="BG47" s="57">
        <f>'Var Vorgaben'!$E$167</f>
        <v>1</v>
      </c>
      <c r="BH47" s="686">
        <f>'Var Vorgaben'!$C$167</f>
        <v>3</v>
      </c>
      <c r="BI47" s="61">
        <f>'Var Vorgaben'!$D$167*(1+Eingabeseite!$C$24)</f>
        <v>68.3</v>
      </c>
      <c r="BJ47" s="198">
        <f>BG47*BI47</f>
        <v>68.3</v>
      </c>
      <c r="BK47" s="42">
        <f t="shared" si="26"/>
        <v>6.8087068757374217E-4</v>
      </c>
      <c r="BL47" s="17"/>
      <c r="BM47" s="20" t="str">
        <f>'Var Vorgaben'!$B$167</f>
        <v>Schnittholzhacker</v>
      </c>
      <c r="BN47" s="57">
        <f>'Var Vorgaben'!$E$167</f>
        <v>1</v>
      </c>
      <c r="BO47" s="686">
        <f>'Var Vorgaben'!$C$167</f>
        <v>3</v>
      </c>
      <c r="BP47" s="61">
        <f>'Var Vorgaben'!$D$167*(1+Eingabeseite!$C$24)</f>
        <v>68.3</v>
      </c>
      <c r="BQ47" s="198">
        <f>BN47*BP47</f>
        <v>68.3</v>
      </c>
      <c r="BR47" s="42">
        <f t="shared" si="27"/>
        <v>1.1583482683932584E-3</v>
      </c>
      <c r="BS47" s="17"/>
      <c r="BT47" s="20" t="str">
        <f>'Var Vorgaben'!$B$167</f>
        <v>Schnittholzhacker</v>
      </c>
      <c r="BU47" s="57">
        <f>'Var Vorgaben'!$E$167</f>
        <v>1</v>
      </c>
      <c r="BV47" s="686">
        <f>'Var Vorgaben'!$C$167</f>
        <v>3</v>
      </c>
      <c r="BW47" s="61">
        <f>'Var Vorgaben'!$D$167*(1+Eingabeseite!$C$24)</f>
        <v>68.3</v>
      </c>
      <c r="BX47" s="198">
        <f>BU47*BW47</f>
        <v>68.3</v>
      </c>
      <c r="BY47" s="42">
        <f t="shared" si="28"/>
        <v>1.2595520344666155E-3</v>
      </c>
      <c r="BZ47" s="17"/>
      <c r="CA47" s="20" t="str">
        <f>'Var Vorgaben'!$B$167</f>
        <v>Schnittholzhacker</v>
      </c>
      <c r="CB47" s="57">
        <f>'Var Vorgaben'!$E$167</f>
        <v>1</v>
      </c>
      <c r="CC47" s="686">
        <f>'Var Vorgaben'!$C$167</f>
        <v>3</v>
      </c>
      <c r="CD47" s="61">
        <f>'Var Vorgaben'!$D$167*(1+Eingabeseite!$C$24)</f>
        <v>68.3</v>
      </c>
      <c r="CE47" s="198">
        <f>CB47*CD47</f>
        <v>68.3</v>
      </c>
      <c r="CF47" s="42">
        <f t="shared" si="29"/>
        <v>1.2306364950924779E-3</v>
      </c>
      <c r="CG47" s="17"/>
      <c r="CH47" s="20" t="str">
        <f>'Var Vorgaben'!$B$167</f>
        <v>Schnittholzhacker</v>
      </c>
      <c r="CI47" s="57">
        <f>'Var Vorgaben'!$E$167</f>
        <v>1</v>
      </c>
      <c r="CJ47" s="686">
        <f>'Var Vorgaben'!$C$167</f>
        <v>3</v>
      </c>
      <c r="CK47" s="61">
        <f>'Var Vorgaben'!$D$167*(1+Eingabeseite!$C$24)</f>
        <v>68.3</v>
      </c>
      <c r="CL47" s="198">
        <f>CI47*CK47</f>
        <v>68.3</v>
      </c>
      <c r="CM47" s="42">
        <f t="shared" si="30"/>
        <v>1.2686641246089571E-3</v>
      </c>
      <c r="CN47" s="17"/>
      <c r="CO47" s="20" t="str">
        <f>'Var Vorgaben'!$B$167</f>
        <v>Schnittholzhacker</v>
      </c>
      <c r="CP47" s="57">
        <f>'Var Vorgaben'!$E$167</f>
        <v>1</v>
      </c>
      <c r="CQ47" s="686">
        <f>'Var Vorgaben'!$C$167</f>
        <v>3</v>
      </c>
      <c r="CR47" s="61">
        <f>'Var Vorgaben'!$D$167*(1+Eingabeseite!$C$24)</f>
        <v>68.3</v>
      </c>
      <c r="CS47" s="198">
        <f>CP47*CR47</f>
        <v>68.3</v>
      </c>
      <c r="CT47" s="42">
        <f t="shared" si="31"/>
        <v>1.2734891241141053E-3</v>
      </c>
      <c r="CU47" s="17"/>
      <c r="CV47" s="20" t="str">
        <f>'Var Vorgaben'!$B$167</f>
        <v>Schnittholzhacker</v>
      </c>
      <c r="CW47" s="57">
        <f>'Var Vorgaben'!$E$167</f>
        <v>1</v>
      </c>
      <c r="CX47" s="686">
        <f>'Var Vorgaben'!$C$167</f>
        <v>3</v>
      </c>
      <c r="CY47" s="61">
        <f>'Var Vorgaben'!$D$167*(1+Eingabeseite!$C$24)</f>
        <v>68.3</v>
      </c>
      <c r="CZ47" s="198">
        <f>CW47*CY47</f>
        <v>68.3</v>
      </c>
      <c r="DA47" s="42">
        <f t="shared" si="32"/>
        <v>1.2440586595085761E-3</v>
      </c>
      <c r="DB47" s="17"/>
      <c r="DC47" s="20" t="str">
        <f>'Var Vorgaben'!$B$167</f>
        <v>Schnittholzhacker</v>
      </c>
      <c r="DD47" s="57">
        <f>'Var Vorgaben'!$E$167</f>
        <v>1</v>
      </c>
      <c r="DE47" s="686">
        <f>'Var Vorgaben'!$C$167</f>
        <v>3</v>
      </c>
      <c r="DF47" s="61">
        <f>'Var Vorgaben'!$D$167*(1+Eingabeseite!$C$24)</f>
        <v>68.3</v>
      </c>
      <c r="DG47" s="198">
        <f>DD47*DF47</f>
        <v>68.3</v>
      </c>
      <c r="DH47" s="42">
        <f t="shared" si="33"/>
        <v>1.1530933161474127E-3</v>
      </c>
    </row>
    <row r="48" spans="1:112" ht="16.5" customHeight="1" x14ac:dyDescent="0.2">
      <c r="B48" s="20" t="s">
        <v>131</v>
      </c>
      <c r="C48" s="45"/>
      <c r="D48" s="412">
        <f>(C39*D39)+(C40*D40)+C41*D41+C42*D42+(D43)+(C45*D45)+(C47*D47)</f>
        <v>19</v>
      </c>
      <c r="E48" s="61"/>
      <c r="F48" s="116">
        <f>SUM(F38:F47)</f>
        <v>1172.3</v>
      </c>
      <c r="G48" s="612">
        <f t="shared" si="18"/>
        <v>9.7128758055141998E-2</v>
      </c>
      <c r="H48" s="17"/>
      <c r="I48" s="20" t="s">
        <v>131</v>
      </c>
      <c r="J48" s="45"/>
      <c r="K48" s="412">
        <f>(J39*K39)+(J40*K40)+J41*K41+J42*K42+(K43)+(J45*K45)+(J47*K47)</f>
        <v>19</v>
      </c>
      <c r="L48" s="61"/>
      <c r="M48" s="116">
        <f>SUM(M38:M47)</f>
        <v>1172.3</v>
      </c>
      <c r="N48" s="612">
        <f t="shared" si="19"/>
        <v>9.6079360706894393E-2</v>
      </c>
      <c r="O48" s="17"/>
      <c r="P48" s="20" t="s">
        <v>131</v>
      </c>
      <c r="Q48" s="45"/>
      <c r="R48" s="412">
        <f>(Q38*R38)+(Q39*R39)+(Q40*R40)+Q41*R41+Q42*R42+(R43)+(Q45*R45)+(Q47*R47)</f>
        <v>45.58653846153846</v>
      </c>
      <c r="S48" s="61"/>
      <c r="T48" s="116">
        <f>SUM(T38:T47)</f>
        <v>4235.4250000000002</v>
      </c>
      <c r="U48" s="612">
        <f t="shared" si="20"/>
        <v>4.9446955159113723E-2</v>
      </c>
      <c r="V48" s="17"/>
      <c r="W48" s="20" t="s">
        <v>131</v>
      </c>
      <c r="X48" s="45"/>
      <c r="Y48" s="412">
        <f>(X38*Y38)+(X39*Y39)+(X40*Y40)+X41*Y41+X42*Y42+(Y43)+(X45*Y45)+(X47*Y47)</f>
        <v>62.006410256410263</v>
      </c>
      <c r="Z48" s="61"/>
      <c r="AA48" s="116">
        <f>SUM(AA38:AA47)</f>
        <v>4210.3833333333341</v>
      </c>
      <c r="AB48" s="612">
        <f t="shared" si="21"/>
        <v>0.12520892814941573</v>
      </c>
      <c r="AC48" s="17"/>
      <c r="AD48" s="20" t="s">
        <v>131</v>
      </c>
      <c r="AE48" s="45"/>
      <c r="AF48" s="412">
        <f>(AE38*AF38)+(AE39*AF39)+(AE40*AF40)+AE41*AF41+AE42*AF42+(AF43)+(AE45*AF45)+(AE47*AF47)</f>
        <v>110.71794871794873</v>
      </c>
      <c r="AG48" s="61"/>
      <c r="AH48" s="116">
        <f>SUM(AH38:AH47)</f>
        <v>5514.6333333333341</v>
      </c>
      <c r="AI48" s="612">
        <f t="shared" si="22"/>
        <v>0.10037144737309668</v>
      </c>
      <c r="AJ48" s="17"/>
      <c r="AK48" s="20" t="s">
        <v>131</v>
      </c>
      <c r="AL48" s="45"/>
      <c r="AM48" s="412">
        <f>(AL38*AM38)+(AL39*AM39)+(AL40*AM40)+AL41*AM41+AL42*AM42+(AM43)+(AL45*AM45)+(AL47*AM47)</f>
        <v>118.02564102564104</v>
      </c>
      <c r="AN48" s="61"/>
      <c r="AO48" s="116">
        <f>SUM(AO38:AO47)</f>
        <v>6350.6333333333341</v>
      </c>
      <c r="AP48" s="612">
        <f t="shared" si="23"/>
        <v>0.11295475002955027</v>
      </c>
      <c r="AQ48" s="17"/>
      <c r="AR48" s="20" t="s">
        <v>131</v>
      </c>
      <c r="AS48" s="45"/>
      <c r="AT48" s="412">
        <f>(AS38*AT38)+(AS39*AT39)+(AS40*AT40)+AS41*AT41+AS42*AT42+(AT43)+(AS45*AT45)+(AS47*AT47)</f>
        <v>110.71794871794873</v>
      </c>
      <c r="AU48" s="61"/>
      <c r="AV48" s="116">
        <f>SUM(AV38:AV47)</f>
        <v>5514.6333333333341</v>
      </c>
      <c r="AW48" s="612">
        <f t="shared" si="24"/>
        <v>0.10106403034688015</v>
      </c>
      <c r="AX48" s="17"/>
      <c r="AY48" s="20" t="s">
        <v>131</v>
      </c>
      <c r="AZ48" s="45"/>
      <c r="BA48" s="412">
        <f>(AZ38*BA38)+(AZ39*BA39)+(AZ40*BA40)+AZ41*BA41+AZ42*BA42+(BA43)+(AZ45*BA45)+(AZ47*BA47)</f>
        <v>110.71794871794873</v>
      </c>
      <c r="BB48" s="61"/>
      <c r="BC48" s="116">
        <f>SUM(BC38:BC47)</f>
        <v>5514.6333333333341</v>
      </c>
      <c r="BD48" s="612">
        <f t="shared" si="25"/>
        <v>0.10143098819299362</v>
      </c>
      <c r="BE48" s="17"/>
      <c r="BF48" s="20" t="s">
        <v>131</v>
      </c>
      <c r="BG48" s="45"/>
      <c r="BH48" s="412">
        <f>(BG38*BH38)+(BG39*BH39)+(BG40*BH40)+BG41*BH41+BG42*BH42+(BH43)+(BG45*BH45)+(BG47*BH47)</f>
        <v>118.02564102564104</v>
      </c>
      <c r="BI48" s="61"/>
      <c r="BJ48" s="116">
        <f>SUM(BJ38:BJ47)</f>
        <v>6350.6333333333341</v>
      </c>
      <c r="BK48" s="612">
        <f t="shared" si="26"/>
        <v>6.3308346767136064E-2</v>
      </c>
      <c r="BL48" s="17"/>
      <c r="BM48" s="20" t="s">
        <v>131</v>
      </c>
      <c r="BN48" s="45"/>
      <c r="BO48" s="412">
        <f>(BN38*BO38)+(BN39*BO39)+(BN40*BO40)+BN41*BO41+BN42*BO42+(BO43)+(BN45*BO45)+(BN47*BO47)</f>
        <v>110.71794871794873</v>
      </c>
      <c r="BP48" s="61"/>
      <c r="BQ48" s="116">
        <f>SUM(BQ38:BQ47)</f>
        <v>5514.6333333333341</v>
      </c>
      <c r="BR48" s="612">
        <f t="shared" si="27"/>
        <v>9.3526588177019185E-2</v>
      </c>
      <c r="BS48" s="17"/>
      <c r="BT48" s="20" t="s">
        <v>131</v>
      </c>
      <c r="BU48" s="45"/>
      <c r="BV48" s="412">
        <f>(BU38*BV38)+(BU39*BV39)+(BU40*BV40)+BU41*BV41+BU42*BV42+(BV43)+(BU45*BV45)+(BU47*BV47)</f>
        <v>110.71794871794873</v>
      </c>
      <c r="BW48" s="61"/>
      <c r="BX48" s="116">
        <f>SUM(BX38:BX47)</f>
        <v>5514.6333333333341</v>
      </c>
      <c r="BY48" s="612">
        <f t="shared" si="28"/>
        <v>0.10169791558327107</v>
      </c>
      <c r="BZ48" s="17"/>
      <c r="CA48" s="20" t="s">
        <v>131</v>
      </c>
      <c r="CB48" s="45"/>
      <c r="CC48" s="412">
        <f>(CB38*CC38)+(CB39*CC39)+(CB40*CC40)+CB41*CC41+CB42*CC42+(CC43)+(CB45*CC45)+(CB47*CC47)</f>
        <v>118.02564102564104</v>
      </c>
      <c r="CD48" s="61"/>
      <c r="CE48" s="116">
        <f>SUM(CE38:CE47)</f>
        <v>6350.6333333333341</v>
      </c>
      <c r="CF48" s="612">
        <f t="shared" si="29"/>
        <v>0.11442637111201749</v>
      </c>
      <c r="CG48" s="17"/>
      <c r="CH48" s="20" t="s">
        <v>131</v>
      </c>
      <c r="CI48" s="45"/>
      <c r="CJ48" s="412">
        <f>(CI38*CJ38)+(CI39*CJ39)+(CI40*CJ40)+CI41*CJ41+CI42*CJ42+(CJ43)+(CI45*CJ45)+(CI47*CJ47)</f>
        <v>110.71794871794873</v>
      </c>
      <c r="CK48" s="61"/>
      <c r="CL48" s="116">
        <f>SUM(CL38:CL47)</f>
        <v>5514.6333333333341</v>
      </c>
      <c r="CM48" s="612">
        <f t="shared" si="30"/>
        <v>0.102433637926394</v>
      </c>
      <c r="CN48" s="17"/>
      <c r="CO48" s="20" t="s">
        <v>131</v>
      </c>
      <c r="CP48" s="45"/>
      <c r="CQ48" s="412">
        <f>(CP38*CQ38)+(CP39*CQ39)+(CP40*CQ40)+CP41*CQ41+CP42*CQ42+(CQ43)+(CP45*CQ45)+(CP47*CQ47)</f>
        <v>110.71794871794873</v>
      </c>
      <c r="CR48" s="61"/>
      <c r="CS48" s="116">
        <f>SUM(CS38:CS47)</f>
        <v>5514.6333333333341</v>
      </c>
      <c r="CT48" s="612">
        <f t="shared" si="31"/>
        <v>0.1028232148386108</v>
      </c>
      <c r="CU48" s="17"/>
      <c r="CV48" s="20" t="s">
        <v>131</v>
      </c>
      <c r="CW48" s="45"/>
      <c r="CX48" s="412">
        <f>(CW38*CX38)+(CW39*CX39)+(CW40*CX40)+CW41*CX41+CW42*CX42+(CX43)+(CW45*CX45)+(CW47*CX47)</f>
        <v>118.02564102564104</v>
      </c>
      <c r="CY48" s="61"/>
      <c r="CZ48" s="116">
        <f>SUM(CZ38:CZ47)</f>
        <v>6350.6333333333341</v>
      </c>
      <c r="DA48" s="612">
        <f t="shared" si="32"/>
        <v>0.11567438348019252</v>
      </c>
      <c r="DB48" s="17"/>
      <c r="DC48" s="20" t="s">
        <v>131</v>
      </c>
      <c r="DD48" s="45"/>
      <c r="DE48" s="412">
        <f>(DD38*DE38)+(DD39*DE39)+(DD40*DE40)+DD41*DE41+DD42*DE42+(DE43)+(DD45*DE45)+(DD47*DE47)</f>
        <v>110.71794871794873</v>
      </c>
      <c r="DF48" s="61"/>
      <c r="DG48" s="116">
        <f>SUM(DG38:DG47)</f>
        <v>5514.6333333333341</v>
      </c>
      <c r="DH48" s="612">
        <f t="shared" si="33"/>
        <v>9.3102296305569474E-2</v>
      </c>
    </row>
    <row r="49" spans="1:112" x14ac:dyDescent="0.2">
      <c r="A49" s="153"/>
      <c r="B49" s="62" t="str">
        <f>'Var Vorgaben'!$B$155</f>
        <v>Obstbautraktor 4-Rad</v>
      </c>
      <c r="C49" s="45"/>
      <c r="D49" s="413">
        <f>D48</f>
        <v>19</v>
      </c>
      <c r="E49" s="61">
        <f>'Var Vorgaben'!$D$155*(1+Eingabeseite!$C$24)</f>
        <v>41</v>
      </c>
      <c r="F49" s="116">
        <f>D49*E49</f>
        <v>779</v>
      </c>
      <c r="G49" s="42">
        <f t="shared" si="18"/>
        <v>6.4542610701147848E-2</v>
      </c>
      <c r="H49" s="153"/>
      <c r="I49" s="62" t="str">
        <f>'Var Vorgaben'!$B$155</f>
        <v>Obstbautraktor 4-Rad</v>
      </c>
      <c r="J49" s="45"/>
      <c r="K49" s="413">
        <f>K48</f>
        <v>19</v>
      </c>
      <c r="L49" s="61">
        <f>'Var Vorgaben'!$D$155*(1+Eingabeseite!$C$24)</f>
        <v>41</v>
      </c>
      <c r="M49" s="116">
        <f>K49*L49</f>
        <v>779</v>
      </c>
      <c r="N49" s="42">
        <f t="shared" si="19"/>
        <v>6.384528021041605E-2</v>
      </c>
      <c r="O49" s="153"/>
      <c r="P49" s="62" t="str">
        <f>'Var Vorgaben'!$B$155</f>
        <v>Obstbautraktor 4-Rad</v>
      </c>
      <c r="Q49" s="45"/>
      <c r="R49" s="413">
        <f>R48</f>
        <v>45.58653846153846</v>
      </c>
      <c r="S49" s="61">
        <f>'Var Vorgaben'!$D$155*(1+Eingabeseite!$C$24)</f>
        <v>41</v>
      </c>
      <c r="T49" s="116">
        <f>R49*S49</f>
        <v>1869.0480769230769</v>
      </c>
      <c r="U49" s="42">
        <f t="shared" si="20"/>
        <v>2.1820416239183342E-2</v>
      </c>
      <c r="V49" s="153"/>
      <c r="W49" s="62" t="str">
        <f>'Var Vorgaben'!$B$155</f>
        <v>Obstbautraktor 4-Rad</v>
      </c>
      <c r="X49" s="45"/>
      <c r="Y49" s="413">
        <f>Y48</f>
        <v>62.006410256410263</v>
      </c>
      <c r="Z49" s="61">
        <f>'Var Vorgaben'!$D$155*(1+Eingabeseite!$C$24)</f>
        <v>41</v>
      </c>
      <c r="AA49" s="116">
        <f>Y49*Z49</f>
        <v>2542.2628205128208</v>
      </c>
      <c r="AB49" s="42">
        <f t="shared" si="21"/>
        <v>7.5602142995021201E-2</v>
      </c>
      <c r="AC49" s="153"/>
      <c r="AD49" s="62" t="str">
        <f>'Var Vorgaben'!$B$155</f>
        <v>Obstbautraktor 4-Rad</v>
      </c>
      <c r="AE49" s="45"/>
      <c r="AF49" s="413">
        <f>AF48</f>
        <v>110.71794871794873</v>
      </c>
      <c r="AG49" s="61">
        <f>'Var Vorgaben'!$D$155*(1+Eingabeseite!$C$24)</f>
        <v>41</v>
      </c>
      <c r="AH49" s="116">
        <f>AF49*AG49</f>
        <v>4539.4358974358984</v>
      </c>
      <c r="AI49" s="42">
        <f t="shared" si="22"/>
        <v>8.2621948503623643E-2</v>
      </c>
      <c r="AJ49" s="153"/>
      <c r="AK49" s="62" t="str">
        <f>'Var Vorgaben'!$B$155</f>
        <v>Obstbautraktor 4-Rad</v>
      </c>
      <c r="AL49" s="45"/>
      <c r="AM49" s="413">
        <f>AM48</f>
        <v>118.02564102564104</v>
      </c>
      <c r="AN49" s="61">
        <f>'Var Vorgaben'!$D$155*(1+Eingabeseite!$C$24)</f>
        <v>41</v>
      </c>
      <c r="AO49" s="116">
        <f>AM49*AN49</f>
        <v>4839.0512820512822</v>
      </c>
      <c r="AP49" s="42">
        <f t="shared" si="23"/>
        <v>8.6069183852152897E-2</v>
      </c>
      <c r="AQ49" s="153"/>
      <c r="AR49" s="62" t="str">
        <f>'Var Vorgaben'!$B$155</f>
        <v>Obstbautraktor 4-Rad</v>
      </c>
      <c r="AS49" s="45"/>
      <c r="AT49" s="413">
        <f>AT48</f>
        <v>110.71794871794873</v>
      </c>
      <c r="AU49" s="61">
        <f>'Var Vorgaben'!$D$155*(1+Eingabeseite!$C$24)</f>
        <v>41</v>
      </c>
      <c r="AV49" s="116">
        <f>AT49*AU49</f>
        <v>4539.4358974358984</v>
      </c>
      <c r="AW49" s="42">
        <f t="shared" si="24"/>
        <v>8.3192056400760162E-2</v>
      </c>
      <c r="AX49" s="153"/>
      <c r="AY49" s="62" t="str">
        <f>'Var Vorgaben'!$B$155</f>
        <v>Obstbautraktor 4-Rad</v>
      </c>
      <c r="AZ49" s="45"/>
      <c r="BA49" s="413">
        <f>BA48</f>
        <v>110.71794871794873</v>
      </c>
      <c r="BB49" s="61">
        <f>'Var Vorgaben'!$D$155*(1+Eingabeseite!$C$24)</f>
        <v>41</v>
      </c>
      <c r="BC49" s="116">
        <f>BA49*BB49</f>
        <v>4539.4358974358984</v>
      </c>
      <c r="BD49" s="42">
        <f t="shared" si="25"/>
        <v>8.3494122108270466E-2</v>
      </c>
      <c r="BE49" s="153"/>
      <c r="BF49" s="62" t="str">
        <f>'Var Vorgaben'!$B$155</f>
        <v>Obstbautraktor 4-Rad</v>
      </c>
      <c r="BG49" s="45"/>
      <c r="BH49" s="413">
        <f>BH48</f>
        <v>118.02564102564104</v>
      </c>
      <c r="BI49" s="61">
        <f>'Var Vorgaben'!$D$155*(1+Eingabeseite!$C$24)</f>
        <v>41</v>
      </c>
      <c r="BJ49" s="116">
        <f>BH49*BI49</f>
        <v>4839.0512820512822</v>
      </c>
      <c r="BK49" s="42">
        <f t="shared" si="26"/>
        <v>4.8239651151022765E-2</v>
      </c>
      <c r="BL49" s="153"/>
      <c r="BM49" s="62" t="str">
        <f>'Var Vorgaben'!$B$155</f>
        <v>Obstbautraktor 4-Rad</v>
      </c>
      <c r="BN49" s="45"/>
      <c r="BO49" s="413">
        <f>BO48</f>
        <v>110.71794871794873</v>
      </c>
      <c r="BP49" s="61">
        <f>'Var Vorgaben'!$D$155*(1+Eingabeseite!$C$24)</f>
        <v>41</v>
      </c>
      <c r="BQ49" s="116">
        <f>BO49*BP49</f>
        <v>4539.4358974358984</v>
      </c>
      <c r="BR49" s="42">
        <f t="shared" si="27"/>
        <v>7.6987521394979067E-2</v>
      </c>
      <c r="BS49" s="153"/>
      <c r="BT49" s="62" t="str">
        <f>'Var Vorgaben'!$B$155</f>
        <v>Obstbautraktor 4-Rad</v>
      </c>
      <c r="BU49" s="45"/>
      <c r="BV49" s="413">
        <f>BV48</f>
        <v>110.71794871794873</v>
      </c>
      <c r="BW49" s="61">
        <f>'Var Vorgaben'!$D$155*(1+Eingabeseite!$C$24)</f>
        <v>41</v>
      </c>
      <c r="BX49" s="116">
        <f>BV49*BW49</f>
        <v>4539.4358974358984</v>
      </c>
      <c r="BY49" s="42">
        <f t="shared" si="28"/>
        <v>8.3713846558509108E-2</v>
      </c>
      <c r="BZ49" s="153"/>
      <c r="CA49" s="62" t="str">
        <f>'Var Vorgaben'!$B$155</f>
        <v>Obstbautraktor 4-Rad</v>
      </c>
      <c r="CB49" s="45"/>
      <c r="CC49" s="413">
        <f>CC48</f>
        <v>118.02564102564104</v>
      </c>
      <c r="CD49" s="61">
        <f>'Var Vorgaben'!$D$155*(1+Eingabeseite!$C$24)</f>
        <v>41</v>
      </c>
      <c r="CE49" s="116">
        <f>CC49*CD49</f>
        <v>4839.0512820512822</v>
      </c>
      <c r="CF49" s="42">
        <f t="shared" si="29"/>
        <v>8.7190528686915847E-2</v>
      </c>
      <c r="CG49" s="153"/>
      <c r="CH49" s="62" t="str">
        <f>'Var Vorgaben'!$B$155</f>
        <v>Obstbautraktor 4-Rad</v>
      </c>
      <c r="CI49" s="45"/>
      <c r="CJ49" s="413">
        <f>CJ48</f>
        <v>110.71794871794873</v>
      </c>
      <c r="CK49" s="61">
        <f>'Var Vorgaben'!$D$155*(1+Eingabeseite!$C$24)</f>
        <v>41</v>
      </c>
      <c r="CL49" s="116">
        <f>CJ49*CK49</f>
        <v>4539.4358974358984</v>
      </c>
      <c r="CM49" s="42">
        <f t="shared" si="30"/>
        <v>8.4319465139663097E-2</v>
      </c>
      <c r="CN49" s="153"/>
      <c r="CO49" s="62" t="str">
        <f>'Var Vorgaben'!$B$155</f>
        <v>Obstbautraktor 4-Rad</v>
      </c>
      <c r="CP49" s="45"/>
      <c r="CQ49" s="413">
        <f>CQ48</f>
        <v>110.71794871794873</v>
      </c>
      <c r="CR49" s="61">
        <f>'Var Vorgaben'!$D$155*(1+Eingabeseite!$C$24)</f>
        <v>41</v>
      </c>
      <c r="CS49" s="116">
        <f>CQ49*CR49</f>
        <v>4539.4358974358984</v>
      </c>
      <c r="CT49" s="42">
        <f t="shared" si="31"/>
        <v>8.4640149999967357E-2</v>
      </c>
      <c r="CU49" s="153"/>
      <c r="CV49" s="62" t="str">
        <f>'Var Vorgaben'!$B$155</f>
        <v>Obstbautraktor 4-Rad</v>
      </c>
      <c r="CW49" s="45"/>
      <c r="CX49" s="413">
        <f>CX48</f>
        <v>118.02564102564104</v>
      </c>
      <c r="CY49" s="61">
        <f>'Var Vorgaben'!$D$155*(1+Eingabeseite!$C$24)</f>
        <v>41</v>
      </c>
      <c r="CZ49" s="116">
        <f>CX49*CY49</f>
        <v>4839.0512820512822</v>
      </c>
      <c r="DA49" s="42">
        <f t="shared" si="32"/>
        <v>8.8141488305153365E-2</v>
      </c>
      <c r="DB49" s="153"/>
      <c r="DC49" s="62" t="str">
        <f>'Var Vorgaben'!$B$155</f>
        <v>Obstbautraktor 4-Rad</v>
      </c>
      <c r="DD49" s="45"/>
      <c r="DE49" s="413">
        <f>DE48</f>
        <v>110.71794871794873</v>
      </c>
      <c r="DF49" s="61">
        <f>'Var Vorgaben'!$D$155*(1+Eingabeseite!$C$24)</f>
        <v>41</v>
      </c>
      <c r="DG49" s="116">
        <f>DE49*DF49</f>
        <v>4539.4358974358984</v>
      </c>
      <c r="DH49" s="42">
        <f t="shared" si="33"/>
        <v>7.663826050385017E-2</v>
      </c>
    </row>
    <row r="50" spans="1:112" x14ac:dyDescent="0.2">
      <c r="A50" s="153"/>
      <c r="B50" s="62"/>
      <c r="C50" s="45"/>
      <c r="D50" s="413"/>
      <c r="E50" s="61"/>
      <c r="F50" s="116"/>
      <c r="G50" s="42"/>
      <c r="H50" s="153"/>
      <c r="I50" s="104"/>
      <c r="J50" s="45"/>
      <c r="K50" s="413"/>
      <c r="L50" s="61"/>
      <c r="M50" s="116"/>
      <c r="N50" s="42"/>
      <c r="O50" s="1352" t="s">
        <v>525</v>
      </c>
      <c r="P50" s="1353" t="str">
        <f>'Var Vorgaben'!$B$155</f>
        <v>Obstbautraktor 4-Rad</v>
      </c>
      <c r="Q50" s="45"/>
      <c r="R50" s="413">
        <f>'Var Erstellung'!$D$115</f>
        <v>60</v>
      </c>
      <c r="S50" s="61">
        <f>'Var Vorgaben'!$D$155*(1+Eingabeseite!$C$24)</f>
        <v>41</v>
      </c>
      <c r="T50" s="116">
        <f>R50*S50</f>
        <v>2460</v>
      </c>
      <c r="U50" s="42">
        <f t="shared" ref="U50:U51" si="34">T50/$T$71</f>
        <v>1.4928557849807516</v>
      </c>
      <c r="V50" s="153"/>
      <c r="W50" s="104"/>
      <c r="X50" s="45"/>
      <c r="Y50" s="413"/>
      <c r="Z50" s="61"/>
      <c r="AA50" s="116"/>
      <c r="AB50" s="42"/>
      <c r="AC50" s="153"/>
      <c r="AD50" s="104"/>
      <c r="AE50" s="45"/>
      <c r="AF50" s="413"/>
      <c r="AG50" s="61"/>
      <c r="AH50" s="116"/>
      <c r="AI50" s="42"/>
      <c r="AJ50" s="153"/>
      <c r="AK50" s="104"/>
      <c r="AL50" s="45"/>
      <c r="AM50" s="413"/>
      <c r="AN50" s="61"/>
      <c r="AO50" s="116"/>
      <c r="AP50" s="42"/>
      <c r="AQ50" s="153"/>
      <c r="AR50" s="104"/>
      <c r="AS50" s="45"/>
      <c r="AT50" s="413"/>
      <c r="AU50" s="61"/>
      <c r="AV50" s="116"/>
      <c r="AW50" s="42"/>
      <c r="AX50" s="1354"/>
      <c r="AY50" s="1353"/>
      <c r="AZ50" s="1144"/>
      <c r="BA50" s="1224"/>
      <c r="BB50" s="61"/>
      <c r="BC50" s="116"/>
      <c r="BD50" s="42"/>
      <c r="BE50" s="1354" t="s">
        <v>528</v>
      </c>
      <c r="BF50" s="1353" t="str">
        <f>'Standard Vorgaben'!$B$155</f>
        <v>Obstbautraktor 4-Rad</v>
      </c>
      <c r="BG50" s="1144"/>
      <c r="BH50" s="1224">
        <f>'Var Erstellung'!$D$160</f>
        <v>10</v>
      </c>
      <c r="BI50" s="61">
        <f>'Var Vorgaben'!$D$155*(1+Eingabeseite!$C$24)</f>
        <v>41</v>
      </c>
      <c r="BJ50" s="116">
        <f>BH50*BI50</f>
        <v>410</v>
      </c>
      <c r="BK50" s="42">
        <f>BJ50/$BJ$73</f>
        <v>4.0872178902669736E-3</v>
      </c>
      <c r="BL50" s="1352" t="s">
        <v>529</v>
      </c>
      <c r="BM50" s="1353" t="str">
        <f>'Var Vorgaben'!$B$155</f>
        <v>Obstbautraktor 4-Rad</v>
      </c>
      <c r="BN50" s="45"/>
      <c r="BO50" s="413">
        <f>'Var Erstellung'!D173</f>
        <v>5</v>
      </c>
      <c r="BP50" s="61">
        <f>'Var Vorgaben'!$D$155*(1+Eingabeseite!$C$24)</f>
        <v>41</v>
      </c>
      <c r="BQ50" s="116">
        <f>BO50*BP50</f>
        <v>205</v>
      </c>
      <c r="BR50" s="42">
        <f t="shared" ref="BR50:BR51" si="35">BQ50/$BQ$71</f>
        <v>0.11396249753864782</v>
      </c>
      <c r="BS50" s="153"/>
      <c r="BT50" s="104"/>
      <c r="BU50" s="45"/>
      <c r="BV50" s="413"/>
      <c r="BW50" s="61"/>
      <c r="BX50" s="116"/>
      <c r="BY50" s="42"/>
      <c r="BZ50" s="153"/>
      <c r="CA50" s="104"/>
      <c r="CB50" s="45"/>
      <c r="CC50" s="413"/>
      <c r="CD50" s="61"/>
      <c r="CE50" s="116"/>
      <c r="CF50" s="42"/>
      <c r="CG50" s="1354"/>
      <c r="CH50" s="1353"/>
      <c r="CI50" s="1144"/>
      <c r="CJ50" s="1224"/>
      <c r="CK50" s="61"/>
      <c r="CL50" s="116"/>
      <c r="CM50" s="42"/>
      <c r="CN50" s="153"/>
      <c r="CO50" s="104"/>
      <c r="CP50" s="45"/>
      <c r="CQ50" s="413"/>
      <c r="CR50" s="61"/>
      <c r="CS50" s="116"/>
      <c r="CT50" s="42"/>
      <c r="CU50" s="153"/>
      <c r="CV50" s="104"/>
      <c r="CW50" s="45"/>
      <c r="CX50" s="413"/>
      <c r="CY50" s="61"/>
      <c r="CZ50" s="116"/>
      <c r="DA50" s="42"/>
      <c r="DB50" s="153"/>
      <c r="DC50" s="104"/>
      <c r="DD50" s="45"/>
      <c r="DE50" s="413"/>
      <c r="DF50" s="61"/>
      <c r="DG50" s="116"/>
      <c r="DH50" s="42"/>
    </row>
    <row r="51" spans="1:112" x14ac:dyDescent="0.2">
      <c r="A51" s="153"/>
      <c r="B51" s="62"/>
      <c r="C51" s="45"/>
      <c r="D51" s="413"/>
      <c r="E51" s="61"/>
      <c r="F51" s="116"/>
      <c r="G51" s="42"/>
      <c r="H51" s="153"/>
      <c r="I51" s="104"/>
      <c r="J51" s="45"/>
      <c r="K51" s="413"/>
      <c r="L51" s="61"/>
      <c r="M51" s="116"/>
      <c r="N51" s="42"/>
      <c r="O51" s="1352" t="s">
        <v>526</v>
      </c>
      <c r="P51" s="1353" t="str">
        <f>'Var Vorgaben'!$B$155</f>
        <v>Obstbautraktor 4-Rad</v>
      </c>
      <c r="Q51" s="1144"/>
      <c r="R51" s="413">
        <f>'Var Erstellung'!$D$117</f>
        <v>0</v>
      </c>
      <c r="S51" s="61">
        <f>'Var Vorgaben'!$D$155*(1+Eingabeseite!$C$24)</f>
        <v>41</v>
      </c>
      <c r="T51" s="116">
        <f>R51*S51</f>
        <v>0</v>
      </c>
      <c r="U51" s="42">
        <f t="shared" si="34"/>
        <v>0</v>
      </c>
      <c r="V51" s="153"/>
      <c r="W51" s="104"/>
      <c r="X51" s="45"/>
      <c r="Y51" s="413"/>
      <c r="Z51" s="61"/>
      <c r="AA51" s="116"/>
      <c r="AB51" s="42"/>
      <c r="AC51" s="153"/>
      <c r="AD51" s="104"/>
      <c r="AE51" s="45"/>
      <c r="AF51" s="413"/>
      <c r="AG51" s="61"/>
      <c r="AH51" s="116"/>
      <c r="AI51" s="42"/>
      <c r="AJ51" s="153"/>
      <c r="AK51" s="104"/>
      <c r="AL51" s="45"/>
      <c r="AM51" s="413"/>
      <c r="AN51" s="61"/>
      <c r="AO51" s="116"/>
      <c r="AP51" s="42"/>
      <c r="AQ51" s="153"/>
      <c r="AR51" s="104"/>
      <c r="AS51" s="45"/>
      <c r="AT51" s="413"/>
      <c r="AU51" s="61"/>
      <c r="AV51" s="116"/>
      <c r="AW51" s="42"/>
      <c r="AX51" s="153"/>
      <c r="AY51" s="62"/>
      <c r="AZ51" s="45"/>
      <c r="BA51" s="413"/>
      <c r="BB51" s="61"/>
      <c r="BC51" s="116"/>
      <c r="BD51" s="42"/>
      <c r="BE51" s="153"/>
      <c r="BF51" s="104"/>
      <c r="BG51" s="45"/>
      <c r="BH51" s="413"/>
      <c r="BI51" s="61"/>
      <c r="BJ51" s="116"/>
      <c r="BK51" s="42"/>
      <c r="BL51" s="1352" t="s">
        <v>530</v>
      </c>
      <c r="BM51" s="1353" t="str">
        <f>'Var Vorgaben'!$B$155</f>
        <v>Obstbautraktor 4-Rad</v>
      </c>
      <c r="BN51" s="45"/>
      <c r="BO51" s="413">
        <f>'Var Erstellung'!D176</f>
        <v>0</v>
      </c>
      <c r="BP51" s="61">
        <f>'Var Vorgaben'!$D$155*(1+Eingabeseite!$C$24)</f>
        <v>41</v>
      </c>
      <c r="BQ51" s="116">
        <f>BO51*BP51</f>
        <v>0</v>
      </c>
      <c r="BR51" s="42">
        <f t="shared" si="35"/>
        <v>0</v>
      </c>
      <c r="BS51" s="153"/>
      <c r="BT51" s="104"/>
      <c r="BU51" s="45"/>
      <c r="BV51" s="413"/>
      <c r="BW51" s="61"/>
      <c r="BX51" s="116"/>
      <c r="BY51" s="42"/>
      <c r="BZ51" s="153"/>
      <c r="CA51" s="104"/>
      <c r="CB51" s="45"/>
      <c r="CC51" s="413"/>
      <c r="CD51" s="61"/>
      <c r="CE51" s="116"/>
      <c r="CF51" s="42"/>
      <c r="CG51" s="153"/>
      <c r="CH51" s="62"/>
      <c r="CI51" s="45"/>
      <c r="CJ51" s="413"/>
      <c r="CK51" s="61"/>
      <c r="CL51" s="116"/>
      <c r="CM51" s="42"/>
      <c r="CN51" s="153"/>
      <c r="CO51" s="104"/>
      <c r="CP51" s="45"/>
      <c r="CQ51" s="413"/>
      <c r="CR51" s="61"/>
      <c r="CS51" s="116"/>
      <c r="CT51" s="42"/>
      <c r="CU51" s="153"/>
      <c r="CV51" s="104"/>
      <c r="CW51" s="45"/>
      <c r="CX51" s="413"/>
      <c r="CY51" s="61"/>
      <c r="CZ51" s="116"/>
      <c r="DA51" s="42"/>
      <c r="DB51" s="153"/>
      <c r="DC51" s="104"/>
      <c r="DD51" s="45"/>
      <c r="DE51" s="413"/>
      <c r="DF51" s="61"/>
      <c r="DG51" s="116"/>
      <c r="DH51" s="42"/>
    </row>
    <row r="52" spans="1:112" x14ac:dyDescent="0.2">
      <c r="A52" s="1394" t="s">
        <v>511</v>
      </c>
      <c r="B52" s="20" t="str">
        <f>'Var Vorgaben'!$B$155</f>
        <v>Obstbautraktor 4-Rad</v>
      </c>
      <c r="C52" s="45">
        <f>'Var Vorgaben'!$C$195</f>
        <v>0</v>
      </c>
      <c r="D52" s="413">
        <v>0</v>
      </c>
      <c r="E52" s="61">
        <f>'Var Vorgaben'!$D$155*(1+Eingabeseite!$C$24)</f>
        <v>41</v>
      </c>
      <c r="F52" s="116">
        <f>C52*D52*E52</f>
        <v>0</v>
      </c>
      <c r="G52" s="42">
        <f>F52/$F$73</f>
        <v>0</v>
      </c>
      <c r="H52" s="1394" t="s">
        <v>511</v>
      </c>
      <c r="I52" s="20" t="str">
        <f>'Var Vorgaben'!$B$155</f>
        <v>Obstbautraktor 4-Rad</v>
      </c>
      <c r="J52" s="45">
        <f>'Var Vorgaben'!$C$195</f>
        <v>0</v>
      </c>
      <c r="K52" s="413">
        <v>0</v>
      </c>
      <c r="L52" s="61">
        <f>'Var Vorgaben'!$D$155*(1+Eingabeseite!$C$24)</f>
        <v>41</v>
      </c>
      <c r="M52" s="116">
        <f>J52*K52*L52</f>
        <v>0</v>
      </c>
      <c r="N52" s="42">
        <f t="shared" ref="N52:N53" si="36">M52/$M$76</f>
        <v>0</v>
      </c>
      <c r="O52" s="1394" t="s">
        <v>511</v>
      </c>
      <c r="P52" s="20" t="str">
        <f>'Var Vorgaben'!$B$155</f>
        <v>Obstbautraktor 4-Rad</v>
      </c>
      <c r="Q52" s="45">
        <f>'Var Vorgaben'!$C$195</f>
        <v>0</v>
      </c>
      <c r="R52" s="1218">
        <v>10</v>
      </c>
      <c r="S52" s="61">
        <f>'Var Vorgaben'!$D$155*(1+Eingabeseite!$C$24)</f>
        <v>41</v>
      </c>
      <c r="T52" s="116">
        <f>Q52*R52*S52</f>
        <v>0</v>
      </c>
      <c r="U52" s="42">
        <f t="shared" ref="U52:U53" si="37">T52/$T$76</f>
        <v>0</v>
      </c>
      <c r="V52" s="1394" t="s">
        <v>511</v>
      </c>
      <c r="W52" s="20" t="str">
        <f>'Var Vorgaben'!$B$155</f>
        <v>Obstbautraktor 4-Rad</v>
      </c>
      <c r="X52" s="45">
        <f>'Var Vorgaben'!$C$195</f>
        <v>0</v>
      </c>
      <c r="Y52" s="1218">
        <v>10</v>
      </c>
      <c r="Z52" s="61">
        <f>'Var Vorgaben'!$D$155*(1+Eingabeseite!$C$24)</f>
        <v>41</v>
      </c>
      <c r="AA52" s="116">
        <f>X52*Y52*Z52</f>
        <v>0</v>
      </c>
      <c r="AB52" s="42">
        <f t="shared" ref="AB52:AB53" si="38">AA52/$AA$76</f>
        <v>0</v>
      </c>
      <c r="AC52" s="1394" t="s">
        <v>511</v>
      </c>
      <c r="AD52" s="20" t="str">
        <f>'Var Vorgaben'!$B$155</f>
        <v>Obstbautraktor 4-Rad</v>
      </c>
      <c r="AE52" s="45">
        <f>'Var Vorgaben'!$C$195</f>
        <v>0</v>
      </c>
      <c r="AF52" s="1218">
        <v>10</v>
      </c>
      <c r="AG52" s="61">
        <f>'Var Vorgaben'!$D$155*(1+Eingabeseite!$C$24)</f>
        <v>41</v>
      </c>
      <c r="AH52" s="116">
        <f>AE52*AF52*AG52</f>
        <v>0</v>
      </c>
      <c r="AI52" s="42">
        <f>AH52/$AH$76</f>
        <v>0</v>
      </c>
      <c r="AJ52" s="1394" t="s">
        <v>511</v>
      </c>
      <c r="AK52" s="20" t="str">
        <f>'Var Vorgaben'!$B$155</f>
        <v>Obstbautraktor 4-Rad</v>
      </c>
      <c r="AL52" s="45">
        <f>'Var Vorgaben'!$C$195</f>
        <v>0</v>
      </c>
      <c r="AM52" s="1218">
        <v>10</v>
      </c>
      <c r="AN52" s="61">
        <f>'Var Vorgaben'!$D$155*(1+Eingabeseite!$C$24)</f>
        <v>41</v>
      </c>
      <c r="AO52" s="116">
        <f>AL52*AM52*AN52</f>
        <v>0</v>
      </c>
      <c r="AP52" s="42">
        <f t="shared" ref="AP52:AP53" si="39">AO52/$AO$76</f>
        <v>0</v>
      </c>
      <c r="AQ52" s="1394" t="s">
        <v>511</v>
      </c>
      <c r="AR52" s="20" t="str">
        <f>'Var Vorgaben'!$B$155</f>
        <v>Obstbautraktor 4-Rad</v>
      </c>
      <c r="AS52" s="45">
        <f>'Var Vorgaben'!$C$195</f>
        <v>0</v>
      </c>
      <c r="AT52" s="1218">
        <v>10</v>
      </c>
      <c r="AU52" s="61">
        <f>'Var Vorgaben'!$D$155*(1+Eingabeseite!$C$24)</f>
        <v>41</v>
      </c>
      <c r="AV52" s="116">
        <f>AS52*AT52*AU52</f>
        <v>0</v>
      </c>
      <c r="AW52" s="42">
        <f t="shared" ref="AW52:AW53" si="40">AV52/$AV$76</f>
        <v>0</v>
      </c>
      <c r="AX52" s="1394" t="s">
        <v>511</v>
      </c>
      <c r="AY52" s="20" t="str">
        <f>'Var Vorgaben'!$B$155</f>
        <v>Obstbautraktor 4-Rad</v>
      </c>
      <c r="AZ52" s="45">
        <f>'Var Vorgaben'!$C$195</f>
        <v>0</v>
      </c>
      <c r="BA52" s="1218">
        <v>10</v>
      </c>
      <c r="BB52" s="61">
        <f>'Var Vorgaben'!$D$155*(1+Eingabeseite!$C$24)</f>
        <v>41</v>
      </c>
      <c r="BC52" s="116">
        <f>AZ52*BA52*BB52</f>
        <v>0</v>
      </c>
      <c r="BD52" s="42">
        <f t="shared" ref="BD52:BD53" si="41">BC52/$BC$76</f>
        <v>0</v>
      </c>
      <c r="BE52" s="1394" t="s">
        <v>511</v>
      </c>
      <c r="BF52" s="20" t="str">
        <f>'Var Vorgaben'!$B$155</f>
        <v>Obstbautraktor 4-Rad</v>
      </c>
      <c r="BG52" s="45">
        <f>'Var Vorgaben'!$C$195</f>
        <v>0</v>
      </c>
      <c r="BH52" s="1218">
        <v>10</v>
      </c>
      <c r="BI52" s="61">
        <f>'Var Vorgaben'!$D$155*(1+Eingabeseite!$C$24)</f>
        <v>41</v>
      </c>
      <c r="BJ52" s="116">
        <f>BG52*BH52*BI52</f>
        <v>0</v>
      </c>
      <c r="BK52" s="42">
        <f t="shared" ref="BK52:BK53" si="42">BJ52/$BJ$76</f>
        <v>0</v>
      </c>
      <c r="BL52" s="1394" t="s">
        <v>511</v>
      </c>
      <c r="BM52" s="20" t="str">
        <f>'Var Vorgaben'!$B$155</f>
        <v>Obstbautraktor 4-Rad</v>
      </c>
      <c r="BN52" s="45">
        <f>'Var Vorgaben'!$C$195</f>
        <v>0</v>
      </c>
      <c r="BO52" s="1218">
        <v>10</v>
      </c>
      <c r="BP52" s="61">
        <f>'Var Vorgaben'!$D$155*(1+Eingabeseite!$C$24)</f>
        <v>41</v>
      </c>
      <c r="BQ52" s="116">
        <f>BN52*BO52*BP52</f>
        <v>0</v>
      </c>
      <c r="BR52" s="42">
        <f t="shared" ref="BR52:BR53" si="43">BQ52/$BQ$76</f>
        <v>0</v>
      </c>
      <c r="BS52" s="1394" t="s">
        <v>511</v>
      </c>
      <c r="BT52" s="20" t="str">
        <f>'Var Vorgaben'!$B$155</f>
        <v>Obstbautraktor 4-Rad</v>
      </c>
      <c r="BU52" s="45">
        <f>'Var Vorgaben'!$C$195</f>
        <v>0</v>
      </c>
      <c r="BV52" s="1218">
        <v>10</v>
      </c>
      <c r="BW52" s="61">
        <f>'Var Vorgaben'!$D$155*(1+Eingabeseite!$C$24)</f>
        <v>41</v>
      </c>
      <c r="BX52" s="116">
        <f>BU52*BV52*BW52</f>
        <v>0</v>
      </c>
      <c r="BY52" s="42">
        <f>BX52/$BX$76</f>
        <v>0</v>
      </c>
      <c r="BZ52" s="1394" t="s">
        <v>511</v>
      </c>
      <c r="CA52" s="20" t="str">
        <f>'Var Vorgaben'!$B$155</f>
        <v>Obstbautraktor 4-Rad</v>
      </c>
      <c r="CB52" s="45">
        <f>'Var Vorgaben'!$C$195</f>
        <v>0</v>
      </c>
      <c r="CC52" s="1218">
        <v>10</v>
      </c>
      <c r="CD52" s="61">
        <f>'Var Vorgaben'!$D$155*(1+Eingabeseite!$C$24)</f>
        <v>41</v>
      </c>
      <c r="CE52" s="116">
        <f>CB52*CC52*CD52</f>
        <v>0</v>
      </c>
      <c r="CF52" s="42">
        <f t="shared" ref="CF52:CF53" si="44">CE52/$CE$76</f>
        <v>0</v>
      </c>
      <c r="CG52" s="1394" t="s">
        <v>511</v>
      </c>
      <c r="CH52" s="20" t="str">
        <f>'Var Vorgaben'!$B$155</f>
        <v>Obstbautraktor 4-Rad</v>
      </c>
      <c r="CI52" s="45">
        <f>'Var Vorgaben'!$C$195</f>
        <v>0</v>
      </c>
      <c r="CJ52" s="1218">
        <v>10</v>
      </c>
      <c r="CK52" s="61">
        <f>'Var Vorgaben'!$D$155*(1+Eingabeseite!$C$24)</f>
        <v>41</v>
      </c>
      <c r="CL52" s="116">
        <f>CI52*CJ52*CK52</f>
        <v>0</v>
      </c>
      <c r="CM52" s="42">
        <f t="shared" ref="CM52:CM53" si="45">CL52/$CL$76</f>
        <v>0</v>
      </c>
      <c r="CN52" s="1394" t="s">
        <v>511</v>
      </c>
      <c r="CO52" s="20" t="str">
        <f>'Var Vorgaben'!$B$155</f>
        <v>Obstbautraktor 4-Rad</v>
      </c>
      <c r="CP52" s="45">
        <f>'Var Vorgaben'!$C$195</f>
        <v>0</v>
      </c>
      <c r="CQ52" s="1218">
        <v>10</v>
      </c>
      <c r="CR52" s="61">
        <f>'Var Vorgaben'!$D$155*(1+Eingabeseite!$C$24)</f>
        <v>41</v>
      </c>
      <c r="CS52" s="116">
        <f>CP52*CQ52*CR52</f>
        <v>0</v>
      </c>
      <c r="CT52" s="42">
        <f t="shared" ref="CT52:CT53" si="46">CS52/$CS$76</f>
        <v>0</v>
      </c>
      <c r="CU52" s="1394" t="s">
        <v>511</v>
      </c>
      <c r="CV52" s="20" t="str">
        <f>'Var Vorgaben'!$B$155</f>
        <v>Obstbautraktor 4-Rad</v>
      </c>
      <c r="CW52" s="45">
        <f>'Var Vorgaben'!$C$195</f>
        <v>0</v>
      </c>
      <c r="CX52" s="1218">
        <v>10</v>
      </c>
      <c r="CY52" s="61">
        <f>'Var Vorgaben'!$D$155*(1+Eingabeseite!$C$24)</f>
        <v>41</v>
      </c>
      <c r="CZ52" s="116">
        <f>CW52*CX52*CY52</f>
        <v>0</v>
      </c>
      <c r="DA52" s="42">
        <f>CZ52/$CZ$76</f>
        <v>0</v>
      </c>
      <c r="DB52" s="1394" t="s">
        <v>511</v>
      </c>
      <c r="DC52" s="20" t="str">
        <f>'Var Vorgaben'!$B$155</f>
        <v>Obstbautraktor 4-Rad</v>
      </c>
      <c r="DD52" s="45">
        <f>'Var Vorgaben'!$C$195</f>
        <v>0</v>
      </c>
      <c r="DE52" s="1218">
        <v>10</v>
      </c>
      <c r="DF52" s="61">
        <f>'Var Vorgaben'!$D$155*(1+Eingabeseite!$C$24)</f>
        <v>41</v>
      </c>
      <c r="DG52" s="116">
        <f>DD52*DE52*DF52</f>
        <v>0</v>
      </c>
      <c r="DH52" s="42">
        <f t="shared" ref="DH52:DH53" si="47">DG52/$DG$76</f>
        <v>0</v>
      </c>
    </row>
    <row r="53" spans="1:112" x14ac:dyDescent="0.2">
      <c r="A53" s="1394"/>
      <c r="B53" s="1" t="str">
        <f>'Var Vorgaben'!$B$168</f>
        <v>Hebebühne schwer, selbstfahrend, elektrisch</v>
      </c>
      <c r="C53" s="45">
        <f>'Var Vorgaben'!$C$195</f>
        <v>0</v>
      </c>
      <c r="D53" s="413">
        <v>0</v>
      </c>
      <c r="E53" s="1299">
        <f>'Var Vorgaben'!$I$168*(1+Eingabeseite!$C$24)</f>
        <v>17.5</v>
      </c>
      <c r="F53" s="116">
        <f>C53*D53*E53</f>
        <v>0</v>
      </c>
      <c r="G53" s="42">
        <f>F53/$F$73</f>
        <v>0</v>
      </c>
      <c r="H53" s="1394"/>
      <c r="I53" s="1" t="str">
        <f>'Var Vorgaben'!$B$168</f>
        <v>Hebebühne schwer, selbstfahrend, elektrisch</v>
      </c>
      <c r="J53" s="45">
        <f>'Var Vorgaben'!$C$195</f>
        <v>0</v>
      </c>
      <c r="K53" s="413">
        <v>0</v>
      </c>
      <c r="L53" s="1299">
        <f>'Var Vorgaben'!$I$168*(1+Eingabeseite!$C$24)</f>
        <v>17.5</v>
      </c>
      <c r="M53" s="116">
        <f>J53*K53*L53</f>
        <v>0</v>
      </c>
      <c r="N53" s="42">
        <f t="shared" si="36"/>
        <v>0</v>
      </c>
      <c r="O53" s="1394"/>
      <c r="P53" s="1" t="str">
        <f>'Var Vorgaben'!$B$168</f>
        <v>Hebebühne schwer, selbstfahrend, elektrisch</v>
      </c>
      <c r="Q53" s="45">
        <f>'Var Vorgaben'!$C$195</f>
        <v>0</v>
      </c>
      <c r="R53" s="1218">
        <v>10</v>
      </c>
      <c r="S53" s="1299">
        <f>'Var Vorgaben'!$I$168*(1+Eingabeseite!$C$24)</f>
        <v>17.5</v>
      </c>
      <c r="T53" s="116">
        <f>Q53*R53*S53</f>
        <v>0</v>
      </c>
      <c r="U53" s="42">
        <f t="shared" si="37"/>
        <v>0</v>
      </c>
      <c r="V53" s="1394"/>
      <c r="W53" s="1" t="str">
        <f>'Var Vorgaben'!$B$168</f>
        <v>Hebebühne schwer, selbstfahrend, elektrisch</v>
      </c>
      <c r="X53" s="45">
        <f>'Var Vorgaben'!$C$195</f>
        <v>0</v>
      </c>
      <c r="Y53" s="1218">
        <v>10</v>
      </c>
      <c r="Z53" s="1299">
        <f>'Var Vorgaben'!$I$168*(1+Eingabeseite!$C$24)</f>
        <v>17.5</v>
      </c>
      <c r="AA53" s="116">
        <f>X53*Y53*Z53</f>
        <v>0</v>
      </c>
      <c r="AB53" s="42">
        <f t="shared" si="38"/>
        <v>0</v>
      </c>
      <c r="AC53" s="1394"/>
      <c r="AD53" s="1" t="str">
        <f>'Var Vorgaben'!$B$168</f>
        <v>Hebebühne schwer, selbstfahrend, elektrisch</v>
      </c>
      <c r="AE53" s="45">
        <f>'Var Vorgaben'!$C$195</f>
        <v>0</v>
      </c>
      <c r="AF53" s="1218">
        <v>10</v>
      </c>
      <c r="AG53" s="1299">
        <f>'Var Vorgaben'!$I$168*(1+Eingabeseite!$C$24)</f>
        <v>17.5</v>
      </c>
      <c r="AH53" s="116">
        <f>AE53*AF53*AG53</f>
        <v>0</v>
      </c>
      <c r="AI53" s="42">
        <f>AH53/$AH$76</f>
        <v>0</v>
      </c>
      <c r="AJ53" s="1394"/>
      <c r="AK53" s="1" t="str">
        <f>'Var Vorgaben'!$B$168</f>
        <v>Hebebühne schwer, selbstfahrend, elektrisch</v>
      </c>
      <c r="AL53" s="45">
        <f>'Var Vorgaben'!$C$195</f>
        <v>0</v>
      </c>
      <c r="AM53" s="1218">
        <v>10</v>
      </c>
      <c r="AN53" s="1299">
        <f>'Var Vorgaben'!$I$168*(1+Eingabeseite!$C$24)</f>
        <v>17.5</v>
      </c>
      <c r="AO53" s="116">
        <f>AL53*AM53*AN53</f>
        <v>0</v>
      </c>
      <c r="AP53" s="42">
        <f t="shared" si="39"/>
        <v>0</v>
      </c>
      <c r="AQ53" s="1394"/>
      <c r="AR53" s="1" t="str">
        <f>'Var Vorgaben'!$B$168</f>
        <v>Hebebühne schwer, selbstfahrend, elektrisch</v>
      </c>
      <c r="AS53" s="45">
        <f>'Var Vorgaben'!$C$195</f>
        <v>0</v>
      </c>
      <c r="AT53" s="1218">
        <v>10</v>
      </c>
      <c r="AU53" s="1299">
        <f>'Var Vorgaben'!$I$168*(1+Eingabeseite!$C$24)</f>
        <v>17.5</v>
      </c>
      <c r="AV53" s="116">
        <f>AS53*AT53*AU53</f>
        <v>0</v>
      </c>
      <c r="AW53" s="42">
        <f t="shared" si="40"/>
        <v>0</v>
      </c>
      <c r="AX53" s="1394"/>
      <c r="AY53" s="1" t="str">
        <f>'Var Vorgaben'!$B$168</f>
        <v>Hebebühne schwer, selbstfahrend, elektrisch</v>
      </c>
      <c r="AZ53" s="45">
        <f>'Var Vorgaben'!$C$195</f>
        <v>0</v>
      </c>
      <c r="BA53" s="1218">
        <v>10</v>
      </c>
      <c r="BB53" s="1299">
        <f>'Var Vorgaben'!$I$168*(1+Eingabeseite!$C$24)</f>
        <v>17.5</v>
      </c>
      <c r="BC53" s="116">
        <f>AZ53*BA53*BB53</f>
        <v>0</v>
      </c>
      <c r="BD53" s="42">
        <f t="shared" si="41"/>
        <v>0</v>
      </c>
      <c r="BE53" s="1394"/>
      <c r="BF53" s="1" t="str">
        <f>'Var Vorgaben'!$B$168</f>
        <v>Hebebühne schwer, selbstfahrend, elektrisch</v>
      </c>
      <c r="BG53" s="45">
        <f>'Var Vorgaben'!$C$195</f>
        <v>0</v>
      </c>
      <c r="BH53" s="1218">
        <v>10</v>
      </c>
      <c r="BI53" s="1299">
        <f>'Var Vorgaben'!$I$168*(1+Eingabeseite!$C$24)</f>
        <v>17.5</v>
      </c>
      <c r="BJ53" s="116">
        <f>BG53*BH53*BI53</f>
        <v>0</v>
      </c>
      <c r="BK53" s="42">
        <f t="shared" si="42"/>
        <v>0</v>
      </c>
      <c r="BL53" s="1394"/>
      <c r="BM53" s="1" t="str">
        <f>'Var Vorgaben'!$B$168</f>
        <v>Hebebühne schwer, selbstfahrend, elektrisch</v>
      </c>
      <c r="BN53" s="45">
        <f>'Var Vorgaben'!$C$195</f>
        <v>0</v>
      </c>
      <c r="BO53" s="1218">
        <v>10</v>
      </c>
      <c r="BP53" s="1299">
        <f>'Var Vorgaben'!$I$168*(1+Eingabeseite!$C$24)</f>
        <v>17.5</v>
      </c>
      <c r="BQ53" s="116">
        <f>BN53*BO53*BP53</f>
        <v>0</v>
      </c>
      <c r="BR53" s="42">
        <f t="shared" si="43"/>
        <v>0</v>
      </c>
      <c r="BS53" s="1394"/>
      <c r="BT53" s="1" t="str">
        <f>'Var Vorgaben'!$B$168</f>
        <v>Hebebühne schwer, selbstfahrend, elektrisch</v>
      </c>
      <c r="BU53" s="45">
        <f>'Var Vorgaben'!$C$195</f>
        <v>0</v>
      </c>
      <c r="BV53" s="1218">
        <v>10</v>
      </c>
      <c r="BW53" s="1299">
        <f>'Var Vorgaben'!$I$168*(1+Eingabeseite!$C$24)</f>
        <v>17.5</v>
      </c>
      <c r="BX53" s="116">
        <f>BU53*BV53*BW53</f>
        <v>0</v>
      </c>
      <c r="BY53" s="42">
        <f>BX53/$BX$76</f>
        <v>0</v>
      </c>
      <c r="BZ53" s="1394"/>
      <c r="CA53" s="1" t="str">
        <f>'Var Vorgaben'!$B$168</f>
        <v>Hebebühne schwer, selbstfahrend, elektrisch</v>
      </c>
      <c r="CB53" s="45">
        <f>'Var Vorgaben'!$C$195</f>
        <v>0</v>
      </c>
      <c r="CC53" s="1218">
        <v>10</v>
      </c>
      <c r="CD53" s="1299">
        <f>'Var Vorgaben'!$I$168*(1+Eingabeseite!$C$24)</f>
        <v>17.5</v>
      </c>
      <c r="CE53" s="116">
        <f>CB53*CC53*CD53</f>
        <v>0</v>
      </c>
      <c r="CF53" s="42">
        <f t="shared" si="44"/>
        <v>0</v>
      </c>
      <c r="CG53" s="1394"/>
      <c r="CH53" s="1" t="str">
        <f>'Var Vorgaben'!$B$168</f>
        <v>Hebebühne schwer, selbstfahrend, elektrisch</v>
      </c>
      <c r="CI53" s="45">
        <f>'Var Vorgaben'!$C$195</f>
        <v>0</v>
      </c>
      <c r="CJ53" s="1218">
        <v>10</v>
      </c>
      <c r="CK53" s="1299">
        <f>'Var Vorgaben'!$I$168*(1+Eingabeseite!$C$24)</f>
        <v>17.5</v>
      </c>
      <c r="CL53" s="116">
        <f>CI53*CJ53*CK53</f>
        <v>0</v>
      </c>
      <c r="CM53" s="42">
        <f t="shared" si="45"/>
        <v>0</v>
      </c>
      <c r="CN53" s="1394"/>
      <c r="CO53" s="1" t="str">
        <f>'Var Vorgaben'!$B$168</f>
        <v>Hebebühne schwer, selbstfahrend, elektrisch</v>
      </c>
      <c r="CP53" s="45">
        <f>'Var Vorgaben'!$C$195</f>
        <v>0</v>
      </c>
      <c r="CQ53" s="1218">
        <v>10</v>
      </c>
      <c r="CR53" s="1299">
        <f>'Var Vorgaben'!$I$168*(1+Eingabeseite!$C$24)</f>
        <v>17.5</v>
      </c>
      <c r="CS53" s="116">
        <f>CP53*CQ53*CR53</f>
        <v>0</v>
      </c>
      <c r="CT53" s="42">
        <f t="shared" si="46"/>
        <v>0</v>
      </c>
      <c r="CU53" s="1394"/>
      <c r="CV53" s="1" t="str">
        <f>'Var Vorgaben'!$B$168</f>
        <v>Hebebühne schwer, selbstfahrend, elektrisch</v>
      </c>
      <c r="CW53" s="45">
        <f>'Var Vorgaben'!$C$195</f>
        <v>0</v>
      </c>
      <c r="CX53" s="1218">
        <v>10</v>
      </c>
      <c r="CY53" s="1299">
        <f>'Var Vorgaben'!$I$168*(1+Eingabeseite!$C$24)</f>
        <v>17.5</v>
      </c>
      <c r="CZ53" s="116">
        <f>CW53*CX53*CY53</f>
        <v>0</v>
      </c>
      <c r="DA53" s="42">
        <f>CZ53/$CZ$76</f>
        <v>0</v>
      </c>
      <c r="DB53" s="1394"/>
      <c r="DC53" s="1" t="str">
        <f>'Var Vorgaben'!$B$168</f>
        <v>Hebebühne schwer, selbstfahrend, elektrisch</v>
      </c>
      <c r="DD53" s="45">
        <f>'Var Vorgaben'!$C$195</f>
        <v>0</v>
      </c>
      <c r="DE53" s="1218">
        <v>10</v>
      </c>
      <c r="DF53" s="1299">
        <f>'Var Vorgaben'!$I$168*(1+Eingabeseite!$C$24)</f>
        <v>17.5</v>
      </c>
      <c r="DG53" s="116">
        <f>DD53*DE53*DF53</f>
        <v>0</v>
      </c>
      <c r="DH53" s="42">
        <f t="shared" si="47"/>
        <v>0</v>
      </c>
    </row>
    <row r="54" spans="1:112" ht="13.5" thickBot="1" x14ac:dyDescent="0.25">
      <c r="A54" s="143"/>
      <c r="B54" s="20" t="str">
        <f>'Var Vorgaben'!$B$169</f>
        <v>Diverse Kleingeräte</v>
      </c>
      <c r="C54" s="45"/>
      <c r="D54" s="45"/>
      <c r="E54" s="61"/>
      <c r="F54" s="607">
        <f>'Var Vorgaben'!$D$169*(1+Eingabeseite!$C$24)</f>
        <v>500</v>
      </c>
      <c r="G54" s="42">
        <f>F54/$F$73</f>
        <v>4.1426579397399133E-2</v>
      </c>
      <c r="H54" s="143"/>
      <c r="I54" s="20" t="str">
        <f>'Var Vorgaben'!$B$169</f>
        <v>Diverse Kleingeräte</v>
      </c>
      <c r="J54" s="45"/>
      <c r="K54" s="45"/>
      <c r="L54" s="61"/>
      <c r="M54" s="607">
        <f>'Var Vorgaben'!$D$169*(1+Eingabeseite!$C$24)</f>
        <v>500</v>
      </c>
      <c r="N54" s="42">
        <f>M54/$M$73</f>
        <v>4.0978998851358181E-2</v>
      </c>
      <c r="O54" s="143"/>
      <c r="P54" s="20" t="str">
        <f>'Var Vorgaben'!$B$169</f>
        <v>Diverse Kleingeräte</v>
      </c>
      <c r="Q54" s="45"/>
      <c r="R54" s="45"/>
      <c r="S54" s="61"/>
      <c r="T54" s="607">
        <f>'Var Vorgaben'!$D$169*(1+Eingabeseite!$C$24)</f>
        <v>500</v>
      </c>
      <c r="U54" s="42">
        <f>T54/$T$73</f>
        <v>5.8373073728272508E-3</v>
      </c>
      <c r="V54" s="143"/>
      <c r="W54" s="20" t="str">
        <f>'Var Vorgaben'!$B$169</f>
        <v>Diverse Kleingeräte</v>
      </c>
      <c r="X54" s="45"/>
      <c r="Y54" s="45"/>
      <c r="Z54" s="61"/>
      <c r="AA54" s="607">
        <f>'Var Vorgaben'!$D$169*(1+Eingabeseite!$C$24)</f>
        <v>500</v>
      </c>
      <c r="AB54" s="42">
        <f>AA54/$AA$73</f>
        <v>1.4869065146413714E-2</v>
      </c>
      <c r="AC54" s="143"/>
      <c r="AD54" s="20" t="str">
        <f>'Var Vorgaben'!$B$169</f>
        <v>Diverse Kleingeräte</v>
      </c>
      <c r="AE54" s="45"/>
      <c r="AF54" s="45"/>
      <c r="AG54" s="61"/>
      <c r="AH54" s="607">
        <f>'Var Vorgaben'!$D$169*(1+Eingabeseite!$C$24)</f>
        <v>500</v>
      </c>
      <c r="AI54" s="42">
        <f>AH54/$AH$73</f>
        <v>9.100464283490893E-3</v>
      </c>
      <c r="AJ54" s="143"/>
      <c r="AK54" s="20" t="str">
        <f>'Var Vorgaben'!$B$169</f>
        <v>Diverse Kleingeräte</v>
      </c>
      <c r="AL54" s="45"/>
      <c r="AM54" s="45"/>
      <c r="AN54" s="61"/>
      <c r="AO54" s="607">
        <f>'Var Vorgaben'!$D$169*(1+Eingabeseite!$C$24)</f>
        <v>500</v>
      </c>
      <c r="AP54" s="42">
        <f>AO54/$AO$73</f>
        <v>8.8931878208643438E-3</v>
      </c>
      <c r="AQ54" s="143"/>
      <c r="AR54" s="20" t="str">
        <f>'Var Vorgaben'!$B$169</f>
        <v>Diverse Kleingeräte</v>
      </c>
      <c r="AS54" s="45"/>
      <c r="AT54" s="45"/>
      <c r="AU54" s="61"/>
      <c r="AV54" s="607">
        <f>'Var Vorgaben'!$D$169*(1+Eingabeseite!$C$24)</f>
        <v>500</v>
      </c>
      <c r="AW54" s="42">
        <f>AV54/$AV$73</f>
        <v>9.1632592992172465E-3</v>
      </c>
      <c r="AX54" s="143"/>
      <c r="AY54" s="20" t="str">
        <f>'Var Vorgaben'!$B$169</f>
        <v>Diverse Kleingeräte</v>
      </c>
      <c r="AZ54" s="45"/>
      <c r="BA54" s="45"/>
      <c r="BB54" s="61"/>
      <c r="BC54" s="607">
        <f>'Var Vorgaben'!$D$169*(1+Eingabeseite!$C$24)</f>
        <v>500</v>
      </c>
      <c r="BD54" s="42">
        <f>BC54/$BC$73</f>
        <v>9.1965305816337391E-3</v>
      </c>
      <c r="BE54" s="143"/>
      <c r="BF54" s="20" t="str">
        <f>'Var Vorgaben'!$B$169</f>
        <v>Diverse Kleingeräte</v>
      </c>
      <c r="BG54" s="45"/>
      <c r="BH54" s="45"/>
      <c r="BI54" s="61"/>
      <c r="BJ54" s="607">
        <f>'Var Vorgaben'!$D$169*(1+Eingabeseite!$C$24)</f>
        <v>500</v>
      </c>
      <c r="BK54" s="42">
        <f>BJ54/$BJ$73</f>
        <v>4.9844120613011869E-3</v>
      </c>
      <c r="BL54" s="143"/>
      <c r="BM54" s="20" t="str">
        <f>'Var Vorgaben'!$B$169</f>
        <v>Diverse Kleingeräte</v>
      </c>
      <c r="BN54" s="45"/>
      <c r="BO54" s="45"/>
      <c r="BP54" s="61"/>
      <c r="BQ54" s="607">
        <f>'Var Vorgaben'!$D$169*(1+Eingabeseite!$C$24)</f>
        <v>500</v>
      </c>
      <c r="BR54" s="42">
        <f>BQ54/$BQ$73</f>
        <v>8.4798555519272206E-3</v>
      </c>
      <c r="BS54" s="143"/>
      <c r="BT54" s="20" t="str">
        <f>'Var Vorgaben'!$B$169</f>
        <v>Diverse Kleingeräte</v>
      </c>
      <c r="BU54" s="45"/>
      <c r="BV54" s="45"/>
      <c r="BW54" s="61"/>
      <c r="BX54" s="607">
        <f>'Var Vorgaben'!$D$169*(1+Eingabeseite!$C$24)</f>
        <v>500</v>
      </c>
      <c r="BY54" s="42">
        <f>BX54/$BX$73</f>
        <v>9.2207323167394981E-3</v>
      </c>
      <c r="BZ54" s="143"/>
      <c r="CA54" s="20" t="str">
        <f>'Var Vorgaben'!$B$169</f>
        <v>Diverse Kleingeräte</v>
      </c>
      <c r="CB54" s="45"/>
      <c r="CC54" s="45"/>
      <c r="CD54" s="61"/>
      <c r="CE54" s="607">
        <f>'Var Vorgaben'!$D$169*(1+Eingabeseite!$C$24)</f>
        <v>500</v>
      </c>
      <c r="CF54" s="42">
        <f>CE54/$CE$73</f>
        <v>9.0090519406477165E-3</v>
      </c>
      <c r="CG54" s="143"/>
      <c r="CH54" s="20" t="str">
        <f>'Var Vorgaben'!$B$169</f>
        <v>Diverse Kleingeräte</v>
      </c>
      <c r="CI54" s="45"/>
      <c r="CJ54" s="45"/>
      <c r="CK54" s="61"/>
      <c r="CL54" s="607">
        <f>'Var Vorgaben'!$D$169*(1+Eingabeseite!$C$24)</f>
        <v>500</v>
      </c>
      <c r="CM54" s="42">
        <f>CL54/$CL$73</f>
        <v>9.2874386867419986E-3</v>
      </c>
      <c r="CN54" s="143"/>
      <c r="CO54" s="20" t="str">
        <f>'Var Vorgaben'!$B$169</f>
        <v>Diverse Kleingeräte</v>
      </c>
      <c r="CP54" s="45"/>
      <c r="CQ54" s="45"/>
      <c r="CR54" s="61"/>
      <c r="CS54" s="607">
        <f>'Var Vorgaben'!$D$169*(1+Eingabeseite!$C$24)</f>
        <v>500</v>
      </c>
      <c r="CT54" s="42">
        <f>CS54/$CS$73</f>
        <v>9.3227607914649017E-3</v>
      </c>
      <c r="CU54" s="143"/>
      <c r="CV54" s="20" t="str">
        <f>'Var Vorgaben'!$B$169</f>
        <v>Diverse Kleingeräte</v>
      </c>
      <c r="CW54" s="45"/>
      <c r="CX54" s="45"/>
      <c r="CY54" s="61"/>
      <c r="CZ54" s="607">
        <f>'Var Vorgaben'!$D$169*(1+Eingabeseite!$C$24)</f>
        <v>500</v>
      </c>
      <c r="DA54" s="42">
        <f>CZ54/$CZ$73</f>
        <v>9.1073108309559017E-3</v>
      </c>
      <c r="DB54" s="143"/>
      <c r="DC54" s="20" t="str">
        <f>'Var Vorgaben'!$B$169</f>
        <v>Diverse Kleingeräte</v>
      </c>
      <c r="DD54" s="45"/>
      <c r="DE54" s="45"/>
      <c r="DF54" s="61"/>
      <c r="DG54" s="607">
        <f>'Var Vorgaben'!$D$169*(1+Eingabeseite!$C$24)</f>
        <v>500</v>
      </c>
      <c r="DH54" s="42">
        <f>DG54/$DG$73</f>
        <v>8.4413859161596837E-3</v>
      </c>
    </row>
    <row r="55" spans="1:112" x14ac:dyDescent="0.2">
      <c r="A55" s="106"/>
      <c r="C55" s="45"/>
      <c r="D55" s="45"/>
      <c r="E55" s="61"/>
      <c r="F55" s="79">
        <f>SUM(F48:F54)</f>
        <v>2451.3000000000002</v>
      </c>
      <c r="G55" s="611">
        <f>F55/$F$73</f>
        <v>0.20309794815368901</v>
      </c>
      <c r="H55" s="106"/>
      <c r="I55" s="20"/>
      <c r="J55" s="45"/>
      <c r="K55" s="45"/>
      <c r="L55" s="61"/>
      <c r="M55" s="79">
        <f>SUM(M48:M54)</f>
        <v>2451.3000000000002</v>
      </c>
      <c r="N55" s="611">
        <f>M55/$M$73</f>
        <v>0.20090363976866862</v>
      </c>
      <c r="O55" s="106"/>
      <c r="P55" s="20"/>
      <c r="Q55" s="45"/>
      <c r="R55" s="45"/>
      <c r="S55" s="61"/>
      <c r="T55" s="79">
        <f>SUM(T48:T54)</f>
        <v>9064.4730769230773</v>
      </c>
      <c r="U55" s="611">
        <f>T55/$T$73</f>
        <v>0.1058242310454344</v>
      </c>
      <c r="V55" s="106"/>
      <c r="W55" s="20"/>
      <c r="X55" s="45"/>
      <c r="Y55" s="45"/>
      <c r="Z55" s="61"/>
      <c r="AA55" s="79">
        <f>SUM(AA48:AA54)</f>
        <v>7252.6461538461554</v>
      </c>
      <c r="AB55" s="611">
        <f>AA55/$AA$73</f>
        <v>0.21568013629085067</v>
      </c>
      <c r="AC55" s="106"/>
      <c r="AD55" s="20"/>
      <c r="AE55" s="45"/>
      <c r="AF55" s="45"/>
      <c r="AG55" s="61"/>
      <c r="AH55" s="79">
        <f>SUM(AH48:AH54)</f>
        <v>10554.069230769233</v>
      </c>
      <c r="AI55" s="611">
        <f>AH55/$AH$73</f>
        <v>0.19209386016021124</v>
      </c>
      <c r="AJ55" s="106"/>
      <c r="AK55" s="20"/>
      <c r="AL55" s="45"/>
      <c r="AM55" s="45"/>
      <c r="AN55" s="61"/>
      <c r="AO55" s="79">
        <f>SUM(AO48:AO54)</f>
        <v>11689.684615384616</v>
      </c>
      <c r="AP55" s="611">
        <f>AO55/$AO$73</f>
        <v>0.20791712170256751</v>
      </c>
      <c r="AQ55" s="106"/>
      <c r="AR55" s="20"/>
      <c r="AS55" s="45"/>
      <c r="AT55" s="45"/>
      <c r="AU55" s="61"/>
      <c r="AV55" s="79">
        <f>SUM(AV48:AV54)</f>
        <v>10554.069230769233</v>
      </c>
      <c r="AW55" s="611">
        <f>AV55/$AV$73</f>
        <v>0.19341934604685757</v>
      </c>
      <c r="AX55" s="106"/>
      <c r="AY55" s="20"/>
      <c r="AZ55" s="45"/>
      <c r="BA55" s="45"/>
      <c r="BB55" s="61"/>
      <c r="BC55" s="79">
        <f>SUM(BC48:BC54)</f>
        <v>10554.069230769233</v>
      </c>
      <c r="BD55" s="611">
        <f>BC55/$BC$73</f>
        <v>0.19412164088289785</v>
      </c>
      <c r="BE55" s="106"/>
      <c r="BF55" s="20"/>
      <c r="BG55" s="45"/>
      <c r="BH55" s="45"/>
      <c r="BI55" s="61"/>
      <c r="BJ55" s="79">
        <f>SUM(BJ48:BJ54)</f>
        <v>12099.684615384616</v>
      </c>
      <c r="BK55" s="611">
        <f>BJ55/$BJ$73</f>
        <v>0.12061962786972699</v>
      </c>
      <c r="BL55" s="106"/>
      <c r="BM55" s="20"/>
      <c r="BN55" s="45"/>
      <c r="BO55" s="45"/>
      <c r="BP55" s="61"/>
      <c r="BQ55" s="79">
        <f>SUM(BQ48:BQ54)</f>
        <v>10759.069230769233</v>
      </c>
      <c r="BR55" s="611">
        <f>BQ55/$BQ$73</f>
        <v>0.18247070590021564</v>
      </c>
      <c r="BS55" s="106"/>
      <c r="BT55" s="20"/>
      <c r="BU55" s="45"/>
      <c r="BV55" s="45"/>
      <c r="BW55" s="61"/>
      <c r="BX55" s="79">
        <f>SUM(BX48:BX54)</f>
        <v>10554.069230769233</v>
      </c>
      <c r="BY55" s="611">
        <f>BX55/$BX$73</f>
        <v>0.19463249445851968</v>
      </c>
      <c r="BZ55" s="106"/>
      <c r="CA55" s="20"/>
      <c r="CB55" s="45"/>
      <c r="CC55" s="45"/>
      <c r="CD55" s="61"/>
      <c r="CE55" s="79">
        <f>SUM(CE48:CE54)</f>
        <v>11689.684615384616</v>
      </c>
      <c r="CF55" s="611">
        <f>CE55/$CE$73</f>
        <v>0.21062595173958107</v>
      </c>
      <c r="CG55" s="106"/>
      <c r="CH55" s="20"/>
      <c r="CI55" s="45"/>
      <c r="CJ55" s="45"/>
      <c r="CK55" s="61"/>
      <c r="CL55" s="79">
        <f>SUM(CL48:CL54)</f>
        <v>10554.069230769233</v>
      </c>
      <c r="CM55" s="611">
        <f>CL55/$CL$73</f>
        <v>0.19604054175279911</v>
      </c>
      <c r="CN55" s="106"/>
      <c r="CO55" s="20"/>
      <c r="CP55" s="45"/>
      <c r="CQ55" s="45"/>
      <c r="CR55" s="61"/>
      <c r="CS55" s="79">
        <f>SUM(CS48:CS54)</f>
        <v>10554.069230769233</v>
      </c>
      <c r="CT55" s="611">
        <f>CS55/$CS$73</f>
        <v>0.19678612563004308</v>
      </c>
      <c r="CU55" s="106"/>
      <c r="CV55" s="20"/>
      <c r="CW55" s="45"/>
      <c r="CX55" s="45"/>
      <c r="CY55" s="61"/>
      <c r="CZ55" s="79">
        <f>SUM(CZ48:CZ54)</f>
        <v>11689.684615384616</v>
      </c>
      <c r="DA55" s="611">
        <f>CZ55/$CZ$73</f>
        <v>0.21292318261630178</v>
      </c>
      <c r="DB55" s="106"/>
      <c r="DC55" s="20"/>
      <c r="DD55" s="45"/>
      <c r="DE55" s="45"/>
      <c r="DF55" s="61"/>
      <c r="DG55" s="79">
        <f>SUM(DG48:DG54)</f>
        <v>10554.069230769233</v>
      </c>
      <c r="DH55" s="611">
        <f>DG55/$DG$73</f>
        <v>0.17818194272557933</v>
      </c>
    </row>
    <row r="56" spans="1:112" ht="19.5" customHeight="1" x14ac:dyDescent="0.2">
      <c r="A56"/>
      <c r="C56" s="57"/>
      <c r="D56" s="119" t="s">
        <v>31</v>
      </c>
      <c r="E56" s="122" t="s">
        <v>25</v>
      </c>
      <c r="F56" s="120" t="s">
        <v>26</v>
      </c>
      <c r="G56" s="42"/>
      <c r="H56"/>
      <c r="I56" s="20"/>
      <c r="J56" s="57"/>
      <c r="K56" s="119" t="s">
        <v>31</v>
      </c>
      <c r="L56" s="122" t="s">
        <v>25</v>
      </c>
      <c r="M56" s="120" t="s">
        <v>26</v>
      </c>
      <c r="N56" s="42"/>
      <c r="P56" s="20"/>
      <c r="Q56" s="57"/>
      <c r="R56" s="119" t="s">
        <v>31</v>
      </c>
      <c r="S56" s="122" t="s">
        <v>25</v>
      </c>
      <c r="T56" s="120" t="s">
        <v>26</v>
      </c>
      <c r="U56" s="42"/>
      <c r="W56" s="20"/>
      <c r="X56" s="57"/>
      <c r="Y56" s="119" t="s">
        <v>31</v>
      </c>
      <c r="Z56" s="122" t="s">
        <v>25</v>
      </c>
      <c r="AA56" s="120" t="s">
        <v>26</v>
      </c>
      <c r="AB56" s="42"/>
      <c r="AD56" s="20"/>
      <c r="AE56" s="57"/>
      <c r="AF56" s="119" t="s">
        <v>31</v>
      </c>
      <c r="AG56" s="122" t="s">
        <v>25</v>
      </c>
      <c r="AH56" s="120" t="s">
        <v>26</v>
      </c>
      <c r="AI56" s="42"/>
      <c r="AK56" s="20"/>
      <c r="AL56" s="57"/>
      <c r="AM56" s="119" t="s">
        <v>31</v>
      </c>
      <c r="AN56" s="122" t="s">
        <v>25</v>
      </c>
      <c r="AO56" s="120" t="s">
        <v>26</v>
      </c>
      <c r="AP56" s="42"/>
      <c r="AR56" s="20"/>
      <c r="AS56" s="57"/>
      <c r="AT56" s="119" t="s">
        <v>31</v>
      </c>
      <c r="AU56" s="122" t="s">
        <v>25</v>
      </c>
      <c r="AV56" s="120" t="s">
        <v>26</v>
      </c>
      <c r="AW56" s="42"/>
      <c r="AY56" s="20"/>
      <c r="AZ56" s="57"/>
      <c r="BA56" s="119" t="s">
        <v>31</v>
      </c>
      <c r="BB56" s="122" t="s">
        <v>25</v>
      </c>
      <c r="BC56" s="120" t="s">
        <v>26</v>
      </c>
      <c r="BD56" s="42"/>
      <c r="BF56" s="20"/>
      <c r="BG56" s="57"/>
      <c r="BH56" s="119" t="s">
        <v>31</v>
      </c>
      <c r="BI56" s="122" t="s">
        <v>25</v>
      </c>
      <c r="BJ56" s="120" t="s">
        <v>26</v>
      </c>
      <c r="BK56" s="42"/>
      <c r="BM56" s="20"/>
      <c r="BN56" s="57"/>
      <c r="BO56" s="119" t="s">
        <v>31</v>
      </c>
      <c r="BP56" s="122" t="s">
        <v>25</v>
      </c>
      <c r="BQ56" s="120" t="s">
        <v>26</v>
      </c>
      <c r="BR56" s="42"/>
      <c r="BT56" s="20"/>
      <c r="BU56" s="57"/>
      <c r="BV56" s="119" t="s">
        <v>31</v>
      </c>
      <c r="BW56" s="122" t="s">
        <v>25</v>
      </c>
      <c r="BX56" s="120" t="s">
        <v>26</v>
      </c>
      <c r="BY56" s="42"/>
      <c r="CA56" s="20"/>
      <c r="CB56" s="57"/>
      <c r="CC56" s="119" t="s">
        <v>31</v>
      </c>
      <c r="CD56" s="122" t="s">
        <v>25</v>
      </c>
      <c r="CE56" s="120" t="s">
        <v>26</v>
      </c>
      <c r="CF56" s="42"/>
      <c r="CH56" s="20"/>
      <c r="CI56" s="57"/>
      <c r="CJ56" s="119" t="s">
        <v>31</v>
      </c>
      <c r="CK56" s="122" t="s">
        <v>25</v>
      </c>
      <c r="CL56" s="120" t="s">
        <v>26</v>
      </c>
      <c r="CM56" s="42"/>
      <c r="CO56" s="20"/>
      <c r="CP56" s="57"/>
      <c r="CQ56" s="119" t="s">
        <v>31</v>
      </c>
      <c r="CR56" s="122" t="s">
        <v>25</v>
      </c>
      <c r="CS56" s="120" t="s">
        <v>26</v>
      </c>
      <c r="CT56" s="42"/>
      <c r="CV56" s="20"/>
      <c r="CW56" s="57"/>
      <c r="CX56" s="119" t="s">
        <v>31</v>
      </c>
      <c r="CY56" s="122" t="s">
        <v>25</v>
      </c>
      <c r="CZ56" s="120" t="s">
        <v>26</v>
      </c>
      <c r="DA56" s="42"/>
      <c r="DC56" s="20"/>
      <c r="DD56" s="57"/>
      <c r="DE56" s="119" t="s">
        <v>31</v>
      </c>
      <c r="DF56" s="122" t="s">
        <v>25</v>
      </c>
      <c r="DG56" s="120" t="s">
        <v>26</v>
      </c>
      <c r="DH56" s="42"/>
    </row>
    <row r="57" spans="1:112" ht="15.75" customHeight="1" x14ac:dyDescent="0.2">
      <c r="A57" s="17" t="s">
        <v>70</v>
      </c>
      <c r="B57" s="4" t="s">
        <v>33</v>
      </c>
      <c r="C57" s="57"/>
      <c r="D57" s="403">
        <f>C39*D39+C40*D40</f>
        <v>1</v>
      </c>
      <c r="E57" s="61">
        <f>'Var Vorgaben'!$C$31</f>
        <v>32.700000000000003</v>
      </c>
      <c r="F57" s="43">
        <f>D57*E57</f>
        <v>32.700000000000003</v>
      </c>
      <c r="G57" s="42">
        <f t="shared" ref="G57:G73" si="48">F57/$F$73</f>
        <v>2.7092982925899034E-3</v>
      </c>
      <c r="H57" s="17" t="s">
        <v>70</v>
      </c>
      <c r="I57" s="4" t="s">
        <v>33</v>
      </c>
      <c r="J57" s="57"/>
      <c r="K57" s="403">
        <f>J39*K39+J40*K40</f>
        <v>1</v>
      </c>
      <c r="L57" s="61">
        <f>'Var Vorgaben'!$C$31</f>
        <v>32.700000000000003</v>
      </c>
      <c r="M57" s="43">
        <f>K57*L57</f>
        <v>32.700000000000003</v>
      </c>
      <c r="N57" s="42">
        <f t="shared" ref="N57:N73" si="49">M57/$M$73</f>
        <v>2.6800265248788251E-3</v>
      </c>
      <c r="O57" s="17" t="s">
        <v>70</v>
      </c>
      <c r="P57" s="4" t="s">
        <v>33</v>
      </c>
      <c r="Q57" s="57"/>
      <c r="R57" s="403">
        <f>Q39*R39+Q40*R40</f>
        <v>9.4615384615384599</v>
      </c>
      <c r="S57" s="61">
        <f>'Var Vorgaben'!$C$31</f>
        <v>32.700000000000003</v>
      </c>
      <c r="T57" s="43">
        <f>R57*S57</f>
        <v>309.39230769230767</v>
      </c>
      <c r="U57" s="42">
        <f t="shared" ref="U57:U73" si="50">T57/$T$73</f>
        <v>3.6120359975766901E-3</v>
      </c>
      <c r="V57" s="17" t="s">
        <v>70</v>
      </c>
      <c r="W57" s="4" t="s">
        <v>33</v>
      </c>
      <c r="X57" s="57"/>
      <c r="Y57" s="403">
        <f>X39*Y39+X40*Y40</f>
        <v>4.5897435897435894</v>
      </c>
      <c r="Z57" s="61">
        <f>'Var Vorgaben'!$C$31</f>
        <v>32.700000000000003</v>
      </c>
      <c r="AA57" s="43">
        <f>Y57*Z57</f>
        <v>150.08461538461538</v>
      </c>
      <c r="AB57" s="42">
        <f t="shared" ref="AB57:AB73" si="51">AA57/$AA$73</f>
        <v>4.4632358472565838E-3</v>
      </c>
      <c r="AC57" s="17" t="s">
        <v>70</v>
      </c>
      <c r="AD57" s="4" t="s">
        <v>33</v>
      </c>
      <c r="AE57" s="57"/>
      <c r="AF57" s="403">
        <f>AE39*AF39+AE40*AF40</f>
        <v>6.3846153846153841</v>
      </c>
      <c r="AG57" s="61">
        <f>'Var Vorgaben'!$C$31</f>
        <v>32.700000000000003</v>
      </c>
      <c r="AH57" s="43">
        <f>AF57*AG57</f>
        <v>208.77692307692308</v>
      </c>
      <c r="AI57" s="42">
        <f t="shared" ref="AI57:AI73" si="52">AH57/$AH$73</f>
        <v>3.7999338633573285E-3</v>
      </c>
      <c r="AJ57" s="17" t="s">
        <v>70</v>
      </c>
      <c r="AK57" s="4" t="s">
        <v>33</v>
      </c>
      <c r="AL57" s="57"/>
      <c r="AM57" s="403">
        <f>AL39*AM39+AL40*AM40</f>
        <v>13.692307692307692</v>
      </c>
      <c r="AN57" s="61">
        <f>'Var Vorgaben'!$C$31</f>
        <v>32.700000000000003</v>
      </c>
      <c r="AO57" s="43">
        <f>AM57*AN57</f>
        <v>447.73846153846154</v>
      </c>
      <c r="AP57" s="42">
        <f t="shared" ref="AP57:AP73" si="53">AO57/$AO$73</f>
        <v>7.9636444661727694E-3</v>
      </c>
      <c r="AQ57" s="17" t="s">
        <v>70</v>
      </c>
      <c r="AR57" s="4" t="s">
        <v>33</v>
      </c>
      <c r="AS57" s="57"/>
      <c r="AT57" s="403">
        <f>AS39*AT39+AS40*AT40</f>
        <v>6.3846153846153841</v>
      </c>
      <c r="AU57" s="61">
        <f>'Var Vorgaben'!$C$31</f>
        <v>32.700000000000003</v>
      </c>
      <c r="AV57" s="43">
        <f>AT57*AU57</f>
        <v>208.77692307692308</v>
      </c>
      <c r="AW57" s="42">
        <f t="shared" ref="AW57:AW73" si="54">AV57/$AV$73</f>
        <v>3.8261541636931584E-3</v>
      </c>
      <c r="AX57" s="17" t="s">
        <v>70</v>
      </c>
      <c r="AY57" s="4" t="s">
        <v>33</v>
      </c>
      <c r="AZ57" s="57"/>
      <c r="BA57" s="403">
        <f>AZ39*BA39+AZ40*BA40</f>
        <v>6.3846153846153841</v>
      </c>
      <c r="BB57" s="61">
        <f>'Var Vorgaben'!$C$31</f>
        <v>32.700000000000003</v>
      </c>
      <c r="BC57" s="43">
        <f>BA57*BB57</f>
        <v>208.77692307692308</v>
      </c>
      <c r="BD57" s="42">
        <f t="shared" ref="BD57:BD73" si="55">BC57/$BC$73</f>
        <v>3.8400467156326358E-3</v>
      </c>
      <c r="BE57" s="17" t="s">
        <v>70</v>
      </c>
      <c r="BF57" s="4" t="s">
        <v>33</v>
      </c>
      <c r="BG57" s="57"/>
      <c r="BH57" s="403">
        <f>BG39*BH39+BG40*BH40</f>
        <v>13.692307692307692</v>
      </c>
      <c r="BI57" s="61">
        <f>'Var Vorgaben'!$C$31</f>
        <v>32.700000000000003</v>
      </c>
      <c r="BJ57" s="43">
        <f>BH57*BI57</f>
        <v>447.73846153846154</v>
      </c>
      <c r="BK57" s="42">
        <f t="shared" ref="BK57:BK63" si="56">BJ57/$BJ$73</f>
        <v>4.4634259760014906E-3</v>
      </c>
      <c r="BL57" s="17" t="s">
        <v>70</v>
      </c>
      <c r="BM57" s="4" t="s">
        <v>33</v>
      </c>
      <c r="BN57" s="57"/>
      <c r="BO57" s="403">
        <f>BN39*BO39+BN40*BO40</f>
        <v>6.3846153846153841</v>
      </c>
      <c r="BP57" s="61">
        <f>'Var Vorgaben'!$C$31</f>
        <v>32.700000000000003</v>
      </c>
      <c r="BQ57" s="43">
        <f>BO57*BP57</f>
        <v>208.77692307692308</v>
      </c>
      <c r="BR57" s="42">
        <f t="shared" ref="BR57:BR73" si="57">BQ57/$BQ$73</f>
        <v>3.540796300536257E-3</v>
      </c>
      <c r="BS57" s="17" t="s">
        <v>70</v>
      </c>
      <c r="BT57" s="4" t="s">
        <v>33</v>
      </c>
      <c r="BU57" s="57"/>
      <c r="BV57" s="403">
        <f>BU39*BV39+BU40*BV40</f>
        <v>6.3846153846153841</v>
      </c>
      <c r="BW57" s="61">
        <f>'Var Vorgaben'!$C$31</f>
        <v>32.700000000000003</v>
      </c>
      <c r="BX57" s="43">
        <f>BV57*BW57</f>
        <v>208.77692307692308</v>
      </c>
      <c r="BY57" s="42">
        <f t="shared" ref="BY57:BY73" si="58">BX57/$BX$73</f>
        <v>3.850152243209642E-3</v>
      </c>
      <c r="BZ57" s="17" t="s">
        <v>70</v>
      </c>
      <c r="CA57" s="4" t="s">
        <v>33</v>
      </c>
      <c r="CB57" s="57"/>
      <c r="CC57" s="403">
        <f>CB39*CC39+CB40*CC40</f>
        <v>13.692307692307692</v>
      </c>
      <c r="CD57" s="61">
        <f>'Var Vorgaben'!$C$31</f>
        <v>32.700000000000003</v>
      </c>
      <c r="CE57" s="43">
        <f>CC57*CD57</f>
        <v>447.73846153846154</v>
      </c>
      <c r="CF57" s="42">
        <f t="shared" ref="CF57:CF73" si="59">CE57/$CE$73</f>
        <v>8.0673981116513999E-3</v>
      </c>
      <c r="CG57" s="17" t="s">
        <v>70</v>
      </c>
      <c r="CH57" s="4" t="s">
        <v>33</v>
      </c>
      <c r="CI57" s="57"/>
      <c r="CJ57" s="403">
        <f>CI39*CJ39+CI40*CJ40</f>
        <v>6.3846153846153841</v>
      </c>
      <c r="CK57" s="61">
        <f>'Var Vorgaben'!$C$31</f>
        <v>32.700000000000003</v>
      </c>
      <c r="CL57" s="43">
        <f>CJ57*CK57</f>
        <v>208.77692307692308</v>
      </c>
      <c r="CM57" s="42">
        <f t="shared" ref="CM57:CM73" si="60">CL57/$CL$73</f>
        <v>3.8780057445671479E-3</v>
      </c>
      <c r="CN57" s="17" t="s">
        <v>70</v>
      </c>
      <c r="CO57" s="4" t="s">
        <v>33</v>
      </c>
      <c r="CP57" s="57"/>
      <c r="CQ57" s="403">
        <f>CP39*CQ39+CP40*CQ40</f>
        <v>6.3846153846153841</v>
      </c>
      <c r="CR57" s="61">
        <f>'Var Vorgaben'!$C$31</f>
        <v>32.700000000000003</v>
      </c>
      <c r="CS57" s="43">
        <f>CQ57*CR57</f>
        <v>208.77692307692308</v>
      </c>
      <c r="CT57" s="42">
        <f t="shared" ref="CT57:CT73" si="61">CS57/$CS$73</f>
        <v>3.8927546252484446E-3</v>
      </c>
      <c r="CU57" s="17" t="s">
        <v>70</v>
      </c>
      <c r="CV57" s="4" t="s">
        <v>33</v>
      </c>
      <c r="CW57" s="57"/>
      <c r="CX57" s="403">
        <f>CW39*CX39+CW40*CX40</f>
        <v>13.692307692307692</v>
      </c>
      <c r="CY57" s="61">
        <f>'Var Vorgaben'!$C$31</f>
        <v>32.700000000000003</v>
      </c>
      <c r="CZ57" s="43">
        <f>CX57*CY57</f>
        <v>447.73846153846154</v>
      </c>
      <c r="DA57" s="42">
        <f t="shared" ref="DA57:DA73" si="62">CZ57/$CZ$73</f>
        <v>8.1553866804095262E-3</v>
      </c>
      <c r="DB57" s="17" t="s">
        <v>70</v>
      </c>
      <c r="DC57" s="4" t="s">
        <v>33</v>
      </c>
      <c r="DD57" s="57"/>
      <c r="DE57" s="403">
        <f>DD39*DE39+DD40*DE40</f>
        <v>6.3846153846153841</v>
      </c>
      <c r="DF57" s="61">
        <f>'Var Vorgaben'!$C$31</f>
        <v>32.700000000000003</v>
      </c>
      <c r="DG57" s="43">
        <f>DE57*DF57</f>
        <v>208.77692307692308</v>
      </c>
      <c r="DH57" s="42">
        <f t="shared" ref="DH57:DH73" si="63">DG57/$DG$73</f>
        <v>3.5247331561613841E-3</v>
      </c>
    </row>
    <row r="58" spans="1:112" x14ac:dyDescent="0.2">
      <c r="B58" s="4" t="s">
        <v>203</v>
      </c>
      <c r="C58" s="1"/>
      <c r="D58" s="46">
        <f>(C38*D38+C41*D41+C42*D42)+'Var Vorgaben'!B88+'Var Vorgaben'!C88</f>
        <v>45.5</v>
      </c>
      <c r="E58" s="61">
        <f>'Var Vorgaben'!$C$31</f>
        <v>32.700000000000003</v>
      </c>
      <c r="F58" s="43">
        <f t="shared" ref="F58:F66" si="64">D58*E58</f>
        <v>1487.8500000000001</v>
      </c>
      <c r="G58" s="42">
        <f t="shared" si="48"/>
        <v>0.12327307231284061</v>
      </c>
      <c r="H58" s="17"/>
      <c r="I58" s="4" t="s">
        <v>203</v>
      </c>
      <c r="J58" s="1"/>
      <c r="K58" s="46">
        <f>(J38*K38+J41*K41+J42*K42)+'Var Vorgaben'!B89+'Var Vorgaben'!C89</f>
        <v>45.5</v>
      </c>
      <c r="L58" s="61">
        <f>'Var Vorgaben'!$C$31</f>
        <v>32.700000000000003</v>
      </c>
      <c r="M58" s="43">
        <f t="shared" ref="M58:M61" si="65">K58*L58</f>
        <v>1487.8500000000001</v>
      </c>
      <c r="N58" s="42">
        <f t="shared" si="49"/>
        <v>0.12194120688198655</v>
      </c>
      <c r="O58" s="17"/>
      <c r="P58" s="4" t="s">
        <v>203</v>
      </c>
      <c r="Q58" s="1"/>
      <c r="R58" s="46">
        <f>(Q38*R38+Q41*R41+Q42*R42)+'Var Vorgaben'!$B$87+'Var Vorgaben'!$C$87</f>
        <v>41</v>
      </c>
      <c r="S58" s="61">
        <f>'Var Vorgaben'!$C$31</f>
        <v>32.700000000000003</v>
      </c>
      <c r="T58" s="43">
        <f t="shared" ref="T58:T61" si="66">R58*S58</f>
        <v>1340.7</v>
      </c>
      <c r="U58" s="42">
        <f t="shared" si="50"/>
        <v>1.5652155989498991E-2</v>
      </c>
      <c r="V58" s="17"/>
      <c r="W58" s="4" t="s">
        <v>203</v>
      </c>
      <c r="X58" s="1"/>
      <c r="Y58" s="46">
        <f>(X38*Y38+X41*Y41+X42*Y42)+'Var Vorgaben'!$B$87+'Var Vorgaben'!$C$87</f>
        <v>41</v>
      </c>
      <c r="Z58" s="61">
        <f>'Var Vorgaben'!$C$31</f>
        <v>32.700000000000003</v>
      </c>
      <c r="AA58" s="43">
        <f t="shared" ref="AA58:AA61" si="67">Y58*Z58</f>
        <v>1340.7</v>
      </c>
      <c r="AB58" s="42">
        <f t="shared" si="51"/>
        <v>3.9869911283593733E-2</v>
      </c>
      <c r="AC58" s="17"/>
      <c r="AD58" s="4" t="s">
        <v>203</v>
      </c>
      <c r="AE58" s="1"/>
      <c r="AF58" s="46">
        <f>(AE38*AF38+AE41*AF41+AE42*AF42)+'Var Vorgaben'!$B$87+'Var Vorgaben'!$C$87</f>
        <v>35</v>
      </c>
      <c r="AG58" s="61">
        <f>'Var Vorgaben'!$C$31</f>
        <v>32.700000000000003</v>
      </c>
      <c r="AH58" s="43">
        <f t="shared" ref="AH58:AH63" si="68">AF58*AG58</f>
        <v>1144.5</v>
      </c>
      <c r="AI58" s="42">
        <f t="shared" si="52"/>
        <v>2.0830962744910655E-2</v>
      </c>
      <c r="AJ58" s="17"/>
      <c r="AK58" s="4" t="s">
        <v>203</v>
      </c>
      <c r="AL58" s="1"/>
      <c r="AM58" s="46">
        <f>(AL38*AM38+AL41*AM41+AL42*AM42)+'Var Vorgaben'!$B$87+'Var Vorgaben'!$C$87</f>
        <v>35</v>
      </c>
      <c r="AN58" s="61">
        <f>'Var Vorgaben'!$C$31</f>
        <v>32.700000000000003</v>
      </c>
      <c r="AO58" s="43">
        <f t="shared" ref="AO58:AO63" si="69">AM58*AN58</f>
        <v>1144.5</v>
      </c>
      <c r="AP58" s="42">
        <f t="shared" si="53"/>
        <v>2.0356506921958482E-2</v>
      </c>
      <c r="AQ58" s="17"/>
      <c r="AR58" s="4" t="s">
        <v>203</v>
      </c>
      <c r="AS58" s="1"/>
      <c r="AT58" s="46">
        <f>(AS38*AT38+AS41*AT41+AS42*AT42)+'Var Vorgaben'!$B$87+'Var Vorgaben'!$C$87</f>
        <v>35</v>
      </c>
      <c r="AU58" s="61">
        <f>'Var Vorgaben'!$C$31</f>
        <v>32.700000000000003</v>
      </c>
      <c r="AV58" s="43">
        <f t="shared" ref="AV58:AV63" si="70">AT58*AU58</f>
        <v>1144.5</v>
      </c>
      <c r="AW58" s="42">
        <f t="shared" si="54"/>
        <v>2.0974700535908275E-2</v>
      </c>
      <c r="AX58" s="17"/>
      <c r="AY58" s="4" t="s">
        <v>203</v>
      </c>
      <c r="AZ58" s="1"/>
      <c r="BA58" s="46">
        <f>(AZ38*BA38+AZ41*BA41+AZ42*BA42)+'Var Vorgaben'!$B$87+'Var Vorgaben'!$C$87</f>
        <v>35</v>
      </c>
      <c r="BB58" s="61">
        <f>'Var Vorgaben'!$C$31</f>
        <v>32.700000000000003</v>
      </c>
      <c r="BC58" s="43">
        <f t="shared" ref="BC58:BC63" si="71">BA58*BB58</f>
        <v>1144.5</v>
      </c>
      <c r="BD58" s="42">
        <f t="shared" si="55"/>
        <v>2.105085850135963E-2</v>
      </c>
      <c r="BE58" s="17"/>
      <c r="BF58" s="4" t="s">
        <v>203</v>
      </c>
      <c r="BG58" s="1"/>
      <c r="BH58" s="46">
        <f>(BG38*BH38+BG41*BH41+BG42*BH42)+'Var Vorgaben'!$B$87+'Var Vorgaben'!$C$87</f>
        <v>35</v>
      </c>
      <c r="BI58" s="61">
        <f>'Var Vorgaben'!$C$31</f>
        <v>32.700000000000003</v>
      </c>
      <c r="BJ58" s="43">
        <f t="shared" ref="BJ58:BJ63" si="72">BH58*BI58</f>
        <v>1144.5</v>
      </c>
      <c r="BK58" s="42">
        <f t="shared" si="56"/>
        <v>1.1409319208318417E-2</v>
      </c>
      <c r="BL58" s="17"/>
      <c r="BM58" s="4" t="s">
        <v>203</v>
      </c>
      <c r="BN58" s="1"/>
      <c r="BO58" s="46">
        <f>(BN38*BO38+BN41*BO41+BN42*BO42)+'Var Vorgaben'!$B$87+'Var Vorgaben'!$C$87</f>
        <v>35</v>
      </c>
      <c r="BP58" s="61">
        <f>'Var Vorgaben'!$C$31</f>
        <v>32.700000000000003</v>
      </c>
      <c r="BQ58" s="43">
        <f t="shared" ref="BQ58:BQ62" si="73">BO58*BP58</f>
        <v>1144.5</v>
      </c>
      <c r="BR58" s="42">
        <f t="shared" si="57"/>
        <v>1.941038935836141E-2</v>
      </c>
      <c r="BS58" s="17"/>
      <c r="BT58" s="4" t="s">
        <v>203</v>
      </c>
      <c r="BU58" s="1"/>
      <c r="BV58" s="46">
        <f>(BU38*BV38+BU41*BV41+BU42*BV42)+'Var Vorgaben'!$B$87+'Var Vorgaben'!$C$87</f>
        <v>35</v>
      </c>
      <c r="BW58" s="61">
        <f>'Var Vorgaben'!$C$31</f>
        <v>32.700000000000003</v>
      </c>
      <c r="BX58" s="43">
        <f t="shared" ref="BX58:BX63" si="74">BV58*BW58</f>
        <v>1144.5</v>
      </c>
      <c r="BY58" s="42">
        <f t="shared" si="58"/>
        <v>2.110625627301671E-2</v>
      </c>
      <c r="BZ58" s="17"/>
      <c r="CA58" s="4" t="s">
        <v>203</v>
      </c>
      <c r="CB58" s="1"/>
      <c r="CC58" s="46">
        <f>(CB38*CC38+CB41*CC41+CB42*CC42)+'Var Vorgaben'!$B$87+'Var Vorgaben'!$C$87</f>
        <v>35</v>
      </c>
      <c r="CD58" s="61">
        <f>'Var Vorgaben'!$C$31</f>
        <v>32.700000000000003</v>
      </c>
      <c r="CE58" s="43">
        <f t="shared" ref="CE58:CE63" si="75">CC58*CD58</f>
        <v>1144.5</v>
      </c>
      <c r="CF58" s="42">
        <f t="shared" si="59"/>
        <v>2.0621719892142624E-2</v>
      </c>
      <c r="CG58" s="17"/>
      <c r="CH58" s="4" t="s">
        <v>203</v>
      </c>
      <c r="CI58" s="1"/>
      <c r="CJ58" s="46">
        <f>(CI38*CJ38+CI41*CJ41+CI42*CJ42)+'Var Vorgaben'!$B$87+'Var Vorgaben'!$C$87</f>
        <v>35</v>
      </c>
      <c r="CK58" s="61">
        <f>'Var Vorgaben'!$C$31</f>
        <v>32.700000000000003</v>
      </c>
      <c r="CL58" s="43">
        <f t="shared" ref="CL58:CL63" si="76">CJ58*CK58</f>
        <v>1144.5</v>
      </c>
      <c r="CM58" s="42">
        <f t="shared" si="60"/>
        <v>2.1258947153952438E-2</v>
      </c>
      <c r="CN58" s="17"/>
      <c r="CO58" s="4" t="s">
        <v>203</v>
      </c>
      <c r="CP58" s="1"/>
      <c r="CQ58" s="46">
        <f>(CP38*CQ38+CP41*CQ41+CP42*CQ42)+'Var Vorgaben'!$B$87+'Var Vorgaben'!$C$87</f>
        <v>35</v>
      </c>
      <c r="CR58" s="61">
        <f>'Var Vorgaben'!$C$31</f>
        <v>32.700000000000003</v>
      </c>
      <c r="CS58" s="43">
        <f t="shared" ref="CS58:CS63" si="77">CQ58*CR58</f>
        <v>1144.5</v>
      </c>
      <c r="CT58" s="42">
        <f t="shared" si="61"/>
        <v>2.1339799451663158E-2</v>
      </c>
      <c r="CU58" s="17"/>
      <c r="CV58" s="4" t="s">
        <v>203</v>
      </c>
      <c r="CW58" s="1"/>
      <c r="CX58" s="46">
        <f>(CW38*CX38+CW41*CX41+CW42*CX42)+'Var Vorgaben'!$B$87+'Var Vorgaben'!$C$87</f>
        <v>35</v>
      </c>
      <c r="CY58" s="61">
        <f>'Var Vorgaben'!$C$31</f>
        <v>32.700000000000003</v>
      </c>
      <c r="CZ58" s="43">
        <f t="shared" ref="CZ58:CZ63" si="78">CX58*CY58</f>
        <v>1144.5</v>
      </c>
      <c r="DA58" s="42">
        <f t="shared" si="62"/>
        <v>2.084663449205806E-2</v>
      </c>
      <c r="DB58" s="17"/>
      <c r="DC58" s="4" t="s">
        <v>203</v>
      </c>
      <c r="DD58" s="1"/>
      <c r="DE58" s="46">
        <f>(DD38*DE38+DD41*DE41+DD42*DE42)+'Var Vorgaben'!$B$87+'Var Vorgaben'!$C$87</f>
        <v>35</v>
      </c>
      <c r="DF58" s="61">
        <f>'Var Vorgaben'!$C$31</f>
        <v>32.700000000000003</v>
      </c>
      <c r="DG58" s="43">
        <f t="shared" ref="DG58:DG63" si="79">DE58*DF58</f>
        <v>1144.5</v>
      </c>
      <c r="DH58" s="42">
        <f t="shared" si="63"/>
        <v>1.9322332362089516E-2</v>
      </c>
    </row>
    <row r="59" spans="1:112" x14ac:dyDescent="0.2">
      <c r="B59" s="4" t="str">
        <f>'Var Vorgaben'!$D$85</f>
        <v>Baumerziehung
(Sommer+Winter)</v>
      </c>
      <c r="C59" s="45"/>
      <c r="D59" s="46">
        <f>'Var Vorgaben'!D88</f>
        <v>60</v>
      </c>
      <c r="E59" s="61">
        <f>'Var Vorgaben'!$C$31</f>
        <v>32.700000000000003</v>
      </c>
      <c r="F59" s="43">
        <f t="shared" si="64"/>
        <v>1962.0000000000002</v>
      </c>
      <c r="G59" s="42">
        <f t="shared" si="48"/>
        <v>0.16255789755539421</v>
      </c>
      <c r="H59" s="17"/>
      <c r="I59" s="4" t="str">
        <f>'Var Vorgaben'!$D$85</f>
        <v>Baumerziehung
(Sommer+Winter)</v>
      </c>
      <c r="J59" s="45"/>
      <c r="K59" s="46">
        <f>'Var Vorgaben'!D89</f>
        <v>60</v>
      </c>
      <c r="L59" s="61">
        <f>'Var Vorgaben'!$C$31</f>
        <v>32.700000000000003</v>
      </c>
      <c r="M59" s="43">
        <f t="shared" si="65"/>
        <v>1962.0000000000002</v>
      </c>
      <c r="N59" s="42">
        <f t="shared" si="49"/>
        <v>0.16080159149272952</v>
      </c>
      <c r="O59" s="17"/>
      <c r="P59" s="4" t="str">
        <f>'Var Vorgaben'!$D$85</f>
        <v>Baumerziehung
(Sommer+Winter)</v>
      </c>
      <c r="Q59" s="45"/>
      <c r="R59" s="46">
        <f>'Var Vorgaben'!$D$87</f>
        <v>100</v>
      </c>
      <c r="S59" s="61">
        <f>'Var Vorgaben'!$C$31</f>
        <v>32.700000000000003</v>
      </c>
      <c r="T59" s="43">
        <f t="shared" si="66"/>
        <v>3270.0000000000005</v>
      </c>
      <c r="U59" s="42">
        <f t="shared" si="50"/>
        <v>3.8175990218290226E-2</v>
      </c>
      <c r="V59" s="17"/>
      <c r="W59" s="4" t="str">
        <f>'Var Vorgaben'!$D$85</f>
        <v>Baumerziehung
(Sommer+Winter)</v>
      </c>
      <c r="X59" s="45"/>
      <c r="Y59" s="46">
        <f>'Var Vorgaben'!$D$87</f>
        <v>100</v>
      </c>
      <c r="Z59" s="61">
        <f>'Var Vorgaben'!$C$31</f>
        <v>32.700000000000003</v>
      </c>
      <c r="AA59" s="43">
        <f t="shared" si="67"/>
        <v>3270.0000000000005</v>
      </c>
      <c r="AB59" s="42">
        <f t="shared" si="51"/>
        <v>9.72436860575457E-2</v>
      </c>
      <c r="AC59" s="17"/>
      <c r="AD59" s="4" t="str">
        <f>'Var Vorgaben'!$D$85</f>
        <v>Baumerziehung
(Sommer+Winter)</v>
      </c>
      <c r="AE59" s="45"/>
      <c r="AF59" s="46">
        <f>'Var Vorgaben'!$D$87</f>
        <v>100</v>
      </c>
      <c r="AG59" s="61">
        <f>'Var Vorgaben'!$C$31</f>
        <v>32.700000000000003</v>
      </c>
      <c r="AH59" s="43">
        <f t="shared" si="68"/>
        <v>3270.0000000000005</v>
      </c>
      <c r="AI59" s="42">
        <f t="shared" si="52"/>
        <v>5.9517036414030451E-2</v>
      </c>
      <c r="AJ59" s="17"/>
      <c r="AK59" s="4" t="str">
        <f>'Var Vorgaben'!$D$85</f>
        <v>Baumerziehung
(Sommer+Winter)</v>
      </c>
      <c r="AL59" s="45"/>
      <c r="AM59" s="46">
        <f>'Var Vorgaben'!$D$87</f>
        <v>100</v>
      </c>
      <c r="AN59" s="61">
        <f>'Var Vorgaben'!$C$31</f>
        <v>32.700000000000003</v>
      </c>
      <c r="AO59" s="43">
        <f t="shared" si="69"/>
        <v>3270.0000000000005</v>
      </c>
      <c r="AP59" s="42">
        <f t="shared" si="53"/>
        <v>5.8161448348452813E-2</v>
      </c>
      <c r="AQ59" s="17"/>
      <c r="AR59" s="4" t="str">
        <f>'Var Vorgaben'!$D$85</f>
        <v>Baumerziehung
(Sommer+Winter)</v>
      </c>
      <c r="AS59" s="45"/>
      <c r="AT59" s="46">
        <f>'Var Vorgaben'!$D$87</f>
        <v>100</v>
      </c>
      <c r="AU59" s="61">
        <f>'Var Vorgaben'!$C$31</f>
        <v>32.700000000000003</v>
      </c>
      <c r="AV59" s="43">
        <f t="shared" si="70"/>
        <v>3270.0000000000005</v>
      </c>
      <c r="AW59" s="42">
        <f t="shared" si="54"/>
        <v>5.9927715816880799E-2</v>
      </c>
      <c r="AX59" s="17"/>
      <c r="AY59" s="4" t="str">
        <f>'Var Vorgaben'!$D$85</f>
        <v>Baumerziehung
(Sommer+Winter)</v>
      </c>
      <c r="AZ59" s="45"/>
      <c r="BA59" s="46">
        <f>'Var Vorgaben'!$D$87</f>
        <v>100</v>
      </c>
      <c r="BB59" s="61">
        <f>'Var Vorgaben'!$C$31</f>
        <v>32.700000000000003</v>
      </c>
      <c r="BC59" s="43">
        <f t="shared" si="71"/>
        <v>3270.0000000000005</v>
      </c>
      <c r="BD59" s="42">
        <f t="shared" si="55"/>
        <v>6.0145310003884664E-2</v>
      </c>
      <c r="BE59" s="17"/>
      <c r="BF59" s="4" t="str">
        <f>'Var Vorgaben'!$D$85</f>
        <v>Baumerziehung
(Sommer+Winter)</v>
      </c>
      <c r="BG59" s="45"/>
      <c r="BH59" s="46">
        <f>'Var Vorgaben'!$D$87</f>
        <v>100</v>
      </c>
      <c r="BI59" s="61">
        <f>'Var Vorgaben'!$C$31</f>
        <v>32.700000000000003</v>
      </c>
      <c r="BJ59" s="43">
        <f t="shared" si="72"/>
        <v>3270.0000000000005</v>
      </c>
      <c r="BK59" s="42">
        <f t="shared" si="56"/>
        <v>3.259805488090977E-2</v>
      </c>
      <c r="BL59" s="17"/>
      <c r="BM59" s="4" t="str">
        <f>'Var Vorgaben'!$D$85</f>
        <v>Baumerziehung
(Sommer+Winter)</v>
      </c>
      <c r="BN59" s="45"/>
      <c r="BO59" s="46">
        <f>'Var Vorgaben'!$D$87</f>
        <v>100</v>
      </c>
      <c r="BP59" s="61">
        <f>'Var Vorgaben'!$C$31</f>
        <v>32.700000000000003</v>
      </c>
      <c r="BQ59" s="43">
        <f t="shared" si="73"/>
        <v>3270.0000000000005</v>
      </c>
      <c r="BR59" s="42">
        <f t="shared" si="57"/>
        <v>5.5458255309604035E-2</v>
      </c>
      <c r="BS59" s="17"/>
      <c r="BT59" s="4" t="str">
        <f>'Var Vorgaben'!$D$85</f>
        <v>Baumerziehung
(Sommer+Winter)</v>
      </c>
      <c r="BU59" s="45"/>
      <c r="BV59" s="46">
        <f>'Var Vorgaben'!$D$87</f>
        <v>100</v>
      </c>
      <c r="BW59" s="61">
        <f>'Var Vorgaben'!$C$31</f>
        <v>32.700000000000003</v>
      </c>
      <c r="BX59" s="43">
        <f t="shared" si="74"/>
        <v>3270.0000000000005</v>
      </c>
      <c r="BY59" s="42">
        <f t="shared" si="58"/>
        <v>6.0303589351476325E-2</v>
      </c>
      <c r="BZ59" s="17"/>
      <c r="CA59" s="4" t="str">
        <f>'Var Vorgaben'!$D$85</f>
        <v>Baumerziehung
(Sommer+Winter)</v>
      </c>
      <c r="CB59" s="45"/>
      <c r="CC59" s="46">
        <f>'Var Vorgaben'!$D$87</f>
        <v>100</v>
      </c>
      <c r="CD59" s="61">
        <f>'Var Vorgaben'!$C$31</f>
        <v>32.700000000000003</v>
      </c>
      <c r="CE59" s="43">
        <f t="shared" si="75"/>
        <v>3270.0000000000005</v>
      </c>
      <c r="CF59" s="42">
        <f t="shared" si="59"/>
        <v>5.8919199691836073E-2</v>
      </c>
      <c r="CG59" s="17"/>
      <c r="CH59" s="4" t="str">
        <f>'Var Vorgaben'!$D$85</f>
        <v>Baumerziehung
(Sommer+Winter)</v>
      </c>
      <c r="CI59" s="45"/>
      <c r="CJ59" s="46">
        <f>'Var Vorgaben'!$D$87</f>
        <v>100</v>
      </c>
      <c r="CK59" s="61">
        <f>'Var Vorgaben'!$C$31</f>
        <v>32.700000000000003</v>
      </c>
      <c r="CL59" s="43">
        <f t="shared" si="76"/>
        <v>3270.0000000000005</v>
      </c>
      <c r="CM59" s="42">
        <f t="shared" si="60"/>
        <v>6.0739849011292688E-2</v>
      </c>
      <c r="CN59" s="17"/>
      <c r="CO59" s="4" t="str">
        <f>'Var Vorgaben'!$D$85</f>
        <v>Baumerziehung
(Sommer+Winter)</v>
      </c>
      <c r="CP59" s="45"/>
      <c r="CQ59" s="46">
        <f>'Var Vorgaben'!$D$87</f>
        <v>100</v>
      </c>
      <c r="CR59" s="61">
        <f>'Var Vorgaben'!$C$31</f>
        <v>32.700000000000003</v>
      </c>
      <c r="CS59" s="43">
        <f t="shared" si="77"/>
        <v>3270.0000000000005</v>
      </c>
      <c r="CT59" s="42">
        <f t="shared" si="61"/>
        <v>6.0970855576180462E-2</v>
      </c>
      <c r="CU59" s="17"/>
      <c r="CV59" s="4" t="str">
        <f>'Var Vorgaben'!$D$85</f>
        <v>Baumerziehung
(Sommer+Winter)</v>
      </c>
      <c r="CW59" s="45"/>
      <c r="CX59" s="46">
        <f>'Var Vorgaben'!$D$87</f>
        <v>100</v>
      </c>
      <c r="CY59" s="61">
        <f>'Var Vorgaben'!$C$31</f>
        <v>32.700000000000003</v>
      </c>
      <c r="CZ59" s="43">
        <f t="shared" si="78"/>
        <v>3270.0000000000005</v>
      </c>
      <c r="DA59" s="42">
        <f t="shared" si="62"/>
        <v>5.9561812834451604E-2</v>
      </c>
      <c r="DB59" s="17"/>
      <c r="DC59" s="4" t="str">
        <f>'Var Vorgaben'!$D$85</f>
        <v>Baumerziehung
(Sommer+Winter)</v>
      </c>
      <c r="DD59" s="45"/>
      <c r="DE59" s="46">
        <f>'Var Vorgaben'!$D$87</f>
        <v>100</v>
      </c>
      <c r="DF59" s="61">
        <f>'Var Vorgaben'!$C$31</f>
        <v>32.700000000000003</v>
      </c>
      <c r="DG59" s="43">
        <f t="shared" si="79"/>
        <v>3270.0000000000005</v>
      </c>
      <c r="DH59" s="42">
        <f t="shared" si="63"/>
        <v>5.5206663891684334E-2</v>
      </c>
    </row>
    <row r="60" spans="1:112" x14ac:dyDescent="0.2">
      <c r="B60" s="4" t="s">
        <v>117</v>
      </c>
      <c r="C60" s="45"/>
      <c r="D60" s="403">
        <f>(C45*D45)+(C47*D47)</f>
        <v>6</v>
      </c>
      <c r="E60" s="61">
        <f>'Var Vorgaben'!$C$31</f>
        <v>32.700000000000003</v>
      </c>
      <c r="F60" s="43">
        <f t="shared" si="64"/>
        <v>196.20000000000002</v>
      </c>
      <c r="G60" s="42">
        <f t="shared" si="48"/>
        <v>1.6255789755539422E-2</v>
      </c>
      <c r="H60" s="17"/>
      <c r="I60" s="4" t="s">
        <v>117</v>
      </c>
      <c r="J60" s="45"/>
      <c r="K60" s="403">
        <f>(J45*K45)+(J47*K47)</f>
        <v>6</v>
      </c>
      <c r="L60" s="61">
        <f>'Var Vorgaben'!$C$31</f>
        <v>32.700000000000003</v>
      </c>
      <c r="M60" s="43">
        <f t="shared" si="65"/>
        <v>196.20000000000002</v>
      </c>
      <c r="N60" s="42">
        <f t="shared" si="49"/>
        <v>1.6080159149272952E-2</v>
      </c>
      <c r="O60" s="17"/>
      <c r="P60" s="4" t="s">
        <v>117</v>
      </c>
      <c r="Q60" s="45"/>
      <c r="R60" s="403">
        <f>(Q45*R45)+(Q47*R47)</f>
        <v>6</v>
      </c>
      <c r="S60" s="61">
        <f>'Var Vorgaben'!$C$31</f>
        <v>32.700000000000003</v>
      </c>
      <c r="T60" s="43">
        <f t="shared" si="66"/>
        <v>196.20000000000002</v>
      </c>
      <c r="U60" s="42">
        <f t="shared" si="50"/>
        <v>2.2905594130974137E-3</v>
      </c>
      <c r="V60" s="17"/>
      <c r="W60" s="4" t="s">
        <v>117</v>
      </c>
      <c r="X60" s="45"/>
      <c r="Y60" s="403">
        <f>(X45*Y45)+(X47*Y47)</f>
        <v>6</v>
      </c>
      <c r="Z60" s="61">
        <f>'Var Vorgaben'!$C$31</f>
        <v>32.700000000000003</v>
      </c>
      <c r="AA60" s="43">
        <f t="shared" si="67"/>
        <v>196.20000000000002</v>
      </c>
      <c r="AB60" s="42">
        <f t="shared" si="51"/>
        <v>5.8346211634527417E-3</v>
      </c>
      <c r="AC60" s="17"/>
      <c r="AD60" s="4" t="s">
        <v>117</v>
      </c>
      <c r="AE60" s="45"/>
      <c r="AF60" s="403">
        <f>(AE45*AF45)+(AE47*AF47)</f>
        <v>6</v>
      </c>
      <c r="AG60" s="61">
        <f>'Var Vorgaben'!$C$31</f>
        <v>32.700000000000003</v>
      </c>
      <c r="AH60" s="43">
        <f t="shared" si="68"/>
        <v>196.20000000000002</v>
      </c>
      <c r="AI60" s="42">
        <f t="shared" si="52"/>
        <v>3.5710221848418268E-3</v>
      </c>
      <c r="AJ60" s="17"/>
      <c r="AK60" s="4" t="s">
        <v>117</v>
      </c>
      <c r="AL60" s="45"/>
      <c r="AM60" s="403">
        <f>(AL45*AM45)+(AL47*AM47)</f>
        <v>6</v>
      </c>
      <c r="AN60" s="61">
        <f>'Var Vorgaben'!$C$31</f>
        <v>32.700000000000003</v>
      </c>
      <c r="AO60" s="43">
        <f t="shared" si="69"/>
        <v>196.20000000000002</v>
      </c>
      <c r="AP60" s="42">
        <f t="shared" si="53"/>
        <v>3.4896869009071688E-3</v>
      </c>
      <c r="AQ60" s="17"/>
      <c r="AR60" s="4" t="s">
        <v>117</v>
      </c>
      <c r="AS60" s="45"/>
      <c r="AT60" s="403">
        <f>(AS45*AT45)+(AS47*AT47)</f>
        <v>6</v>
      </c>
      <c r="AU60" s="61">
        <f>'Var Vorgaben'!$C$31</f>
        <v>32.700000000000003</v>
      </c>
      <c r="AV60" s="43">
        <f t="shared" si="70"/>
        <v>196.20000000000002</v>
      </c>
      <c r="AW60" s="42">
        <f t="shared" si="54"/>
        <v>3.5956629490128478E-3</v>
      </c>
      <c r="AX60" s="17"/>
      <c r="AY60" s="4" t="s">
        <v>117</v>
      </c>
      <c r="AZ60" s="45"/>
      <c r="BA60" s="403">
        <f>(AZ45*BA45)+(AZ47*BA47)</f>
        <v>6</v>
      </c>
      <c r="BB60" s="61">
        <f>'Var Vorgaben'!$C$31</f>
        <v>32.700000000000003</v>
      </c>
      <c r="BC60" s="43">
        <f t="shared" si="71"/>
        <v>196.20000000000002</v>
      </c>
      <c r="BD60" s="42">
        <f t="shared" si="55"/>
        <v>3.6087186002330793E-3</v>
      </c>
      <c r="BE60" s="17"/>
      <c r="BF60" s="4" t="s">
        <v>117</v>
      </c>
      <c r="BG60" s="45"/>
      <c r="BH60" s="403">
        <f>(BG45*BH45)+(BG47*BH47)</f>
        <v>6</v>
      </c>
      <c r="BI60" s="61">
        <f>'Var Vorgaben'!$C$31</f>
        <v>32.700000000000003</v>
      </c>
      <c r="BJ60" s="43">
        <f t="shared" si="72"/>
        <v>196.20000000000002</v>
      </c>
      <c r="BK60" s="42">
        <f t="shared" si="56"/>
        <v>1.9558832928545859E-3</v>
      </c>
      <c r="BL60" s="17"/>
      <c r="BM60" s="4" t="s">
        <v>117</v>
      </c>
      <c r="BN60" s="45"/>
      <c r="BO60" s="403">
        <f>(BN45*BO45)+(BN47*BO47)</f>
        <v>6</v>
      </c>
      <c r="BP60" s="61">
        <f>'Var Vorgaben'!$C$31</f>
        <v>32.700000000000003</v>
      </c>
      <c r="BQ60" s="43">
        <f t="shared" si="73"/>
        <v>196.20000000000002</v>
      </c>
      <c r="BR60" s="42">
        <f t="shared" si="57"/>
        <v>3.327495318576242E-3</v>
      </c>
      <c r="BS60" s="17"/>
      <c r="BT60" s="4" t="s">
        <v>117</v>
      </c>
      <c r="BU60" s="45"/>
      <c r="BV60" s="403">
        <f>(BU45*BV45)+(BU47*BV47)</f>
        <v>6</v>
      </c>
      <c r="BW60" s="61">
        <f>'Var Vorgaben'!$C$31</f>
        <v>32.700000000000003</v>
      </c>
      <c r="BX60" s="43">
        <f t="shared" si="74"/>
        <v>196.20000000000002</v>
      </c>
      <c r="BY60" s="42">
        <f t="shared" si="58"/>
        <v>3.6182153610885793E-3</v>
      </c>
      <c r="BZ60" s="17"/>
      <c r="CA60" s="4" t="s">
        <v>117</v>
      </c>
      <c r="CB60" s="45"/>
      <c r="CC60" s="403">
        <f>(CB45*CC45)+(CB47*CC47)</f>
        <v>6</v>
      </c>
      <c r="CD60" s="61">
        <f>'Var Vorgaben'!$C$31</f>
        <v>32.700000000000003</v>
      </c>
      <c r="CE60" s="43">
        <f t="shared" si="75"/>
        <v>196.20000000000002</v>
      </c>
      <c r="CF60" s="42">
        <f t="shared" si="59"/>
        <v>3.5351519815101642E-3</v>
      </c>
      <c r="CG60" s="17"/>
      <c r="CH60" s="4" t="s">
        <v>117</v>
      </c>
      <c r="CI60" s="45"/>
      <c r="CJ60" s="403">
        <f>(CI45*CJ45)+(CI47*CJ47)</f>
        <v>6</v>
      </c>
      <c r="CK60" s="61">
        <f>'Var Vorgaben'!$C$31</f>
        <v>32.700000000000003</v>
      </c>
      <c r="CL60" s="43">
        <f t="shared" si="76"/>
        <v>196.20000000000002</v>
      </c>
      <c r="CM60" s="42">
        <f t="shared" si="60"/>
        <v>3.644390940677561E-3</v>
      </c>
      <c r="CN60" s="17"/>
      <c r="CO60" s="4" t="s">
        <v>117</v>
      </c>
      <c r="CP60" s="45"/>
      <c r="CQ60" s="403">
        <f>(CP45*CQ45)+(CP47*CQ47)</f>
        <v>6</v>
      </c>
      <c r="CR60" s="61">
        <f>'Var Vorgaben'!$C$31</f>
        <v>32.700000000000003</v>
      </c>
      <c r="CS60" s="43">
        <f t="shared" si="77"/>
        <v>196.20000000000002</v>
      </c>
      <c r="CT60" s="42">
        <f t="shared" si="61"/>
        <v>3.6582513345708276E-3</v>
      </c>
      <c r="CU60" s="17"/>
      <c r="CV60" s="4" t="s">
        <v>117</v>
      </c>
      <c r="CW60" s="45"/>
      <c r="CX60" s="403">
        <f>(CW45*CX45)+(CW47*CX47)</f>
        <v>6</v>
      </c>
      <c r="CY60" s="61">
        <f>'Var Vorgaben'!$C$31</f>
        <v>32.700000000000003</v>
      </c>
      <c r="CZ60" s="43">
        <f t="shared" si="78"/>
        <v>196.20000000000002</v>
      </c>
      <c r="DA60" s="42">
        <f t="shared" si="62"/>
        <v>3.5737087700670961E-3</v>
      </c>
      <c r="DB60" s="17"/>
      <c r="DC60" s="4" t="s">
        <v>117</v>
      </c>
      <c r="DD60" s="45"/>
      <c r="DE60" s="403">
        <f>(DD45*DE45)+(DD47*DE47)</f>
        <v>6</v>
      </c>
      <c r="DF60" s="61">
        <f>'Var Vorgaben'!$C$31</f>
        <v>32.700000000000003</v>
      </c>
      <c r="DG60" s="43">
        <f t="shared" si="79"/>
        <v>196.20000000000002</v>
      </c>
      <c r="DH60" s="42">
        <f t="shared" si="63"/>
        <v>3.31239983350106E-3</v>
      </c>
    </row>
    <row r="61" spans="1:112" x14ac:dyDescent="0.2">
      <c r="B61" s="4" t="s">
        <v>557</v>
      </c>
      <c r="C61" s="1"/>
      <c r="D61" s="46">
        <f>'Var Vorgaben'!E88</f>
        <v>0</v>
      </c>
      <c r="E61" s="61">
        <f>'Var Vorgaben'!$C$30</f>
        <v>22.62</v>
      </c>
      <c r="F61" s="43">
        <f t="shared" si="64"/>
        <v>0</v>
      </c>
      <c r="G61" s="42">
        <f t="shared" si="48"/>
        <v>0</v>
      </c>
      <c r="H61" s="17"/>
      <c r="I61" s="4" t="s">
        <v>557</v>
      </c>
      <c r="J61" s="1"/>
      <c r="K61" s="46">
        <f>'Var Vorgaben'!E89</f>
        <v>0</v>
      </c>
      <c r="L61" s="61">
        <f>'Var Vorgaben'!$C$30</f>
        <v>22.62</v>
      </c>
      <c r="M61" s="43">
        <f t="shared" si="65"/>
        <v>0</v>
      </c>
      <c r="N61" s="42">
        <f t="shared" si="49"/>
        <v>0</v>
      </c>
      <c r="O61" s="17"/>
      <c r="P61" s="4" t="s">
        <v>557</v>
      </c>
      <c r="Q61" s="1"/>
      <c r="R61" s="46">
        <f>'Var Vorgaben'!$E$87</f>
        <v>0</v>
      </c>
      <c r="S61" s="61">
        <f>'Var Vorgaben'!$C$30</f>
        <v>22.62</v>
      </c>
      <c r="T61" s="43">
        <f t="shared" si="66"/>
        <v>0</v>
      </c>
      <c r="U61" s="42">
        <f t="shared" si="50"/>
        <v>0</v>
      </c>
      <c r="V61" s="17"/>
      <c r="W61" s="4" t="s">
        <v>557</v>
      </c>
      <c r="X61" s="1"/>
      <c r="Y61" s="46">
        <f>'Var Vorgaben'!$E$87</f>
        <v>0</v>
      </c>
      <c r="Z61" s="61">
        <f>'Var Vorgaben'!$C$30</f>
        <v>22.62</v>
      </c>
      <c r="AA61" s="43">
        <f t="shared" si="67"/>
        <v>0</v>
      </c>
      <c r="AB61" s="42">
        <f t="shared" si="51"/>
        <v>0</v>
      </c>
      <c r="AC61" s="17"/>
      <c r="AD61" s="4" t="s">
        <v>557</v>
      </c>
      <c r="AE61" s="1"/>
      <c r="AF61" s="46">
        <f>'Var Vorgaben'!$E$87</f>
        <v>0</v>
      </c>
      <c r="AG61" s="61">
        <f>'Var Vorgaben'!$C$30</f>
        <v>22.62</v>
      </c>
      <c r="AH61" s="43">
        <f t="shared" si="68"/>
        <v>0</v>
      </c>
      <c r="AI61" s="42">
        <f t="shared" si="52"/>
        <v>0</v>
      </c>
      <c r="AJ61" s="17"/>
      <c r="AK61" s="4" t="s">
        <v>557</v>
      </c>
      <c r="AL61" s="1"/>
      <c r="AM61" s="46">
        <f>'Var Vorgaben'!$E$87</f>
        <v>0</v>
      </c>
      <c r="AN61" s="61">
        <f>'Var Vorgaben'!$C$30</f>
        <v>22.62</v>
      </c>
      <c r="AO61" s="43">
        <f t="shared" si="69"/>
        <v>0</v>
      </c>
      <c r="AP61" s="42">
        <f t="shared" si="53"/>
        <v>0</v>
      </c>
      <c r="AQ61" s="17"/>
      <c r="AR61" s="4" t="s">
        <v>557</v>
      </c>
      <c r="AS61" s="1"/>
      <c r="AT61" s="46">
        <f>'Var Vorgaben'!$E$87</f>
        <v>0</v>
      </c>
      <c r="AU61" s="61">
        <f>'Var Vorgaben'!$C$30</f>
        <v>22.62</v>
      </c>
      <c r="AV61" s="43">
        <f t="shared" si="70"/>
        <v>0</v>
      </c>
      <c r="AW61" s="42">
        <f t="shared" si="54"/>
        <v>0</v>
      </c>
      <c r="AX61" s="17"/>
      <c r="AY61" s="4" t="s">
        <v>557</v>
      </c>
      <c r="AZ61" s="1"/>
      <c r="BA61" s="46">
        <f>'Var Vorgaben'!$E$87</f>
        <v>0</v>
      </c>
      <c r="BB61" s="61">
        <f>'Var Vorgaben'!$C$30</f>
        <v>22.62</v>
      </c>
      <c r="BC61" s="43">
        <f t="shared" si="71"/>
        <v>0</v>
      </c>
      <c r="BD61" s="42">
        <f t="shared" si="55"/>
        <v>0</v>
      </c>
      <c r="BE61" s="17"/>
      <c r="BF61" s="4" t="s">
        <v>557</v>
      </c>
      <c r="BG61" s="1"/>
      <c r="BH61" s="46">
        <f>'Var Vorgaben'!$E$87</f>
        <v>0</v>
      </c>
      <c r="BI61" s="61">
        <f>'Var Vorgaben'!$C$30</f>
        <v>22.62</v>
      </c>
      <c r="BJ61" s="43">
        <f t="shared" si="72"/>
        <v>0</v>
      </c>
      <c r="BK61" s="42">
        <f t="shared" si="56"/>
        <v>0</v>
      </c>
      <c r="BL61" s="17"/>
      <c r="BM61" s="4" t="s">
        <v>557</v>
      </c>
      <c r="BN61" s="1"/>
      <c r="BO61" s="46">
        <f>'Var Vorgaben'!$E$87</f>
        <v>0</v>
      </c>
      <c r="BP61" s="61">
        <f>'Var Vorgaben'!$C$30</f>
        <v>22.62</v>
      </c>
      <c r="BQ61" s="43">
        <f t="shared" si="73"/>
        <v>0</v>
      </c>
      <c r="BR61" s="42">
        <f t="shared" si="57"/>
        <v>0</v>
      </c>
      <c r="BS61" s="17"/>
      <c r="BT61" s="4" t="s">
        <v>557</v>
      </c>
      <c r="BU61" s="1"/>
      <c r="BV61" s="46">
        <f>'Var Vorgaben'!$E$87</f>
        <v>0</v>
      </c>
      <c r="BW61" s="61">
        <f>'Var Vorgaben'!$C$30</f>
        <v>22.62</v>
      </c>
      <c r="BX61" s="43">
        <f t="shared" si="74"/>
        <v>0</v>
      </c>
      <c r="BY61" s="42">
        <f t="shared" si="58"/>
        <v>0</v>
      </c>
      <c r="BZ61" s="17"/>
      <c r="CA61" s="4" t="s">
        <v>557</v>
      </c>
      <c r="CB61" s="1"/>
      <c r="CC61" s="46">
        <f>'Var Vorgaben'!$E$87</f>
        <v>0</v>
      </c>
      <c r="CD61" s="61">
        <f>'Var Vorgaben'!$C$30</f>
        <v>22.62</v>
      </c>
      <c r="CE61" s="43">
        <f t="shared" si="75"/>
        <v>0</v>
      </c>
      <c r="CF61" s="42">
        <f t="shared" si="59"/>
        <v>0</v>
      </c>
      <c r="CG61" s="17"/>
      <c r="CH61" s="4" t="s">
        <v>557</v>
      </c>
      <c r="CI61" s="1"/>
      <c r="CJ61" s="46">
        <f>'Var Vorgaben'!$E$87</f>
        <v>0</v>
      </c>
      <c r="CK61" s="61">
        <f>'Var Vorgaben'!$C$30</f>
        <v>22.62</v>
      </c>
      <c r="CL61" s="43">
        <f t="shared" si="76"/>
        <v>0</v>
      </c>
      <c r="CM61" s="42">
        <f t="shared" si="60"/>
        <v>0</v>
      </c>
      <c r="CN61" s="17"/>
      <c r="CO61" s="4" t="s">
        <v>557</v>
      </c>
      <c r="CP61" s="1"/>
      <c r="CQ61" s="46">
        <f>'Var Vorgaben'!$E$87</f>
        <v>0</v>
      </c>
      <c r="CR61" s="61">
        <f>'Var Vorgaben'!$C$30</f>
        <v>22.62</v>
      </c>
      <c r="CS61" s="43">
        <f t="shared" si="77"/>
        <v>0</v>
      </c>
      <c r="CT61" s="42">
        <f t="shared" si="61"/>
        <v>0</v>
      </c>
      <c r="CU61" s="17"/>
      <c r="CV61" s="4" t="s">
        <v>557</v>
      </c>
      <c r="CW61" s="1"/>
      <c r="CX61" s="46">
        <f>'Var Vorgaben'!$E$87</f>
        <v>0</v>
      </c>
      <c r="CY61" s="61">
        <f>'Var Vorgaben'!$C$30</f>
        <v>22.62</v>
      </c>
      <c r="CZ61" s="43">
        <f t="shared" si="78"/>
        <v>0</v>
      </c>
      <c r="DA61" s="42">
        <f t="shared" si="62"/>
        <v>0</v>
      </c>
      <c r="DB61" s="17"/>
      <c r="DC61" s="4" t="s">
        <v>557</v>
      </c>
      <c r="DD61" s="1"/>
      <c r="DE61" s="46">
        <f>'Var Vorgaben'!$E$87</f>
        <v>0</v>
      </c>
      <c r="DF61" s="61">
        <f>'Var Vorgaben'!$C$30</f>
        <v>22.62</v>
      </c>
      <c r="DG61" s="43">
        <f t="shared" si="79"/>
        <v>0</v>
      </c>
      <c r="DH61" s="42">
        <f t="shared" si="63"/>
        <v>0</v>
      </c>
    </row>
    <row r="62" spans="1:112" x14ac:dyDescent="0.2">
      <c r="B62" s="1" t="s">
        <v>531</v>
      </c>
      <c r="C62" s="250"/>
      <c r="D62" s="45">
        <v>0</v>
      </c>
      <c r="E62" s="61">
        <f>'Var Vorgaben'!$C$30</f>
        <v>22.62</v>
      </c>
      <c r="F62" s="43">
        <f>D62*E62</f>
        <v>0</v>
      </c>
      <c r="G62" s="42">
        <f t="shared" si="48"/>
        <v>0</v>
      </c>
      <c r="H62" s="17"/>
      <c r="I62" s="1" t="s">
        <v>531</v>
      </c>
      <c r="J62" s="250"/>
      <c r="K62" s="45">
        <v>0</v>
      </c>
      <c r="L62" s="61">
        <f>'Var Vorgaben'!$C$30</f>
        <v>22.62</v>
      </c>
      <c r="M62" s="43">
        <f>K62*L62</f>
        <v>0</v>
      </c>
      <c r="N62" s="42">
        <f t="shared" si="49"/>
        <v>0</v>
      </c>
      <c r="O62" s="17"/>
      <c r="P62" s="1351" t="s">
        <v>223</v>
      </c>
      <c r="Q62" s="250"/>
      <c r="R62" s="182">
        <f>'Var Erstellung'!D121+'Var Erstellung'!D122+'Var Erstellung'!D129</f>
        <v>200</v>
      </c>
      <c r="S62" s="61">
        <f>'Var Vorgaben'!$C$30</f>
        <v>22.62</v>
      </c>
      <c r="T62" s="43">
        <f t="shared" ref="T62:T63" si="80">R62*S62</f>
        <v>4524</v>
      </c>
      <c r="U62" s="42">
        <f t="shared" si="50"/>
        <v>5.2815957109340964E-2</v>
      </c>
      <c r="V62" s="17"/>
      <c r="W62" s="1" t="s">
        <v>228</v>
      </c>
      <c r="X62" s="250"/>
      <c r="Y62" s="45">
        <f>'Var Erstellung'!$D$128+'Var Erstellung'!$D$129</f>
        <v>40</v>
      </c>
      <c r="Z62" s="61">
        <f>'Var Vorgaben'!$C$30</f>
        <v>22.62</v>
      </c>
      <c r="AA62" s="43">
        <f t="shared" ref="AA62:AA63" si="81">Y62*Z62</f>
        <v>904.80000000000007</v>
      </c>
      <c r="AB62" s="42">
        <f t="shared" si="51"/>
        <v>2.6907060288950256E-2</v>
      </c>
      <c r="AC62" s="17"/>
      <c r="AD62" s="1" t="s">
        <v>228</v>
      </c>
      <c r="AE62" s="250"/>
      <c r="AF62" s="45">
        <f>'Var Erstellung'!$D$128+'Var Erstellung'!$D$129</f>
        <v>40</v>
      </c>
      <c r="AG62" s="61">
        <f>'Var Vorgaben'!$C$30</f>
        <v>22.62</v>
      </c>
      <c r="AH62" s="43">
        <f t="shared" si="68"/>
        <v>904.80000000000007</v>
      </c>
      <c r="AI62" s="42">
        <f t="shared" si="52"/>
        <v>1.6468200167405123E-2</v>
      </c>
      <c r="AJ62" s="17"/>
      <c r="AK62" s="1" t="s">
        <v>228</v>
      </c>
      <c r="AL62" s="250"/>
      <c r="AM62" s="45">
        <f>'Var Erstellung'!$D$128+'Var Erstellung'!$D$129</f>
        <v>40</v>
      </c>
      <c r="AN62" s="61">
        <f>'Var Vorgaben'!$C$30</f>
        <v>22.62</v>
      </c>
      <c r="AO62" s="43">
        <f t="shared" si="69"/>
        <v>904.80000000000007</v>
      </c>
      <c r="AP62" s="42">
        <f t="shared" si="53"/>
        <v>1.6093112680636117E-2</v>
      </c>
      <c r="AQ62" s="17"/>
      <c r="AR62" s="1" t="s">
        <v>228</v>
      </c>
      <c r="AS62" s="250"/>
      <c r="AT62" s="45">
        <f>'Var Erstellung'!$D$128+'Var Erstellung'!$D$129</f>
        <v>40</v>
      </c>
      <c r="AU62" s="61">
        <f>'Var Vorgaben'!$C$30</f>
        <v>22.62</v>
      </c>
      <c r="AV62" s="43">
        <f t="shared" si="70"/>
        <v>904.80000000000007</v>
      </c>
      <c r="AW62" s="42">
        <f t="shared" si="54"/>
        <v>1.6581834027863531E-2</v>
      </c>
      <c r="AX62" s="17"/>
      <c r="AY62" s="1" t="s">
        <v>228</v>
      </c>
      <c r="AZ62" s="250"/>
      <c r="BA62" s="45">
        <f>'Var Erstellung'!$D$128+'Var Erstellung'!$D$129</f>
        <v>40</v>
      </c>
      <c r="BB62" s="61">
        <f>'Var Vorgaben'!$C$30</f>
        <v>22.62</v>
      </c>
      <c r="BC62" s="43">
        <f t="shared" si="71"/>
        <v>904.80000000000007</v>
      </c>
      <c r="BD62" s="42">
        <f t="shared" si="55"/>
        <v>1.6642041740524416E-2</v>
      </c>
      <c r="BE62" s="17"/>
      <c r="BF62" s="1351" t="s">
        <v>204</v>
      </c>
      <c r="BG62" s="250"/>
      <c r="BH62" s="182">
        <f>'Var Erstellung'!$D$164+'Var Erstellung'!$D$129</f>
        <v>150</v>
      </c>
      <c r="BI62" s="61">
        <f>'Var Vorgaben'!$C$30</f>
        <v>22.62</v>
      </c>
      <c r="BJ62" s="43">
        <f t="shared" si="72"/>
        <v>3393</v>
      </c>
      <c r="BK62" s="42">
        <f t="shared" si="56"/>
        <v>3.3824220247989853E-2</v>
      </c>
      <c r="BL62" s="17"/>
      <c r="BM62" s="1" t="s">
        <v>228</v>
      </c>
      <c r="BN62" s="250"/>
      <c r="BO62" s="45">
        <f>'Var Erstellung'!$D$128+'Var Erstellung'!$D$129</f>
        <v>40</v>
      </c>
      <c r="BP62" s="61">
        <f>'Var Vorgaben'!$C$30</f>
        <v>22.62</v>
      </c>
      <c r="BQ62" s="43">
        <f t="shared" si="73"/>
        <v>904.80000000000007</v>
      </c>
      <c r="BR62" s="42">
        <f>BQ63/$BQ$73</f>
        <v>0</v>
      </c>
      <c r="BS62" s="17"/>
      <c r="BT62" s="1" t="s">
        <v>228</v>
      </c>
      <c r="BU62" s="250"/>
      <c r="BV62" s="45">
        <f>'Var Erstellung'!$D$128+'Var Erstellung'!$D$129</f>
        <v>40</v>
      </c>
      <c r="BW62" s="61">
        <f>'Var Vorgaben'!$C$30</f>
        <v>22.62</v>
      </c>
      <c r="BX62" s="43">
        <f t="shared" si="74"/>
        <v>904.80000000000007</v>
      </c>
      <c r="BY62" s="42">
        <f t="shared" si="58"/>
        <v>1.6685837200371798E-2</v>
      </c>
      <c r="BZ62" s="17"/>
      <c r="CA62" s="1" t="s">
        <v>228</v>
      </c>
      <c r="CB62" s="250"/>
      <c r="CC62" s="45">
        <f>'Var Erstellung'!$D$128+'Var Erstellung'!$D$129</f>
        <v>40</v>
      </c>
      <c r="CD62" s="61">
        <f>'Var Vorgaben'!$C$30</f>
        <v>22.62</v>
      </c>
      <c r="CE62" s="43">
        <f t="shared" si="75"/>
        <v>904.80000000000007</v>
      </c>
      <c r="CF62" s="42">
        <f t="shared" si="59"/>
        <v>1.6302780391796109E-2</v>
      </c>
      <c r="CG62" s="17"/>
      <c r="CH62" s="1" t="s">
        <v>228</v>
      </c>
      <c r="CI62" s="250"/>
      <c r="CJ62" s="45">
        <f>'Var Erstellung'!$D$128+'Var Erstellung'!$D$129</f>
        <v>40</v>
      </c>
      <c r="CK62" s="61">
        <f>'Var Vorgaben'!$C$30</f>
        <v>22.62</v>
      </c>
      <c r="CL62" s="43">
        <f t="shared" si="76"/>
        <v>904.80000000000007</v>
      </c>
      <c r="CM62" s="42">
        <f t="shared" si="60"/>
        <v>1.6806549047528322E-2</v>
      </c>
      <c r="CN62" s="17"/>
      <c r="CO62" s="1" t="s">
        <v>228</v>
      </c>
      <c r="CP62" s="250"/>
      <c r="CQ62" s="45">
        <f>'Var Erstellung'!$D$128+'Var Erstellung'!$D$129</f>
        <v>40</v>
      </c>
      <c r="CR62" s="61">
        <f>'Var Vorgaben'!$C$30</f>
        <v>22.62</v>
      </c>
      <c r="CS62" s="43">
        <f t="shared" si="77"/>
        <v>904.80000000000007</v>
      </c>
      <c r="CT62" s="42">
        <f t="shared" si="61"/>
        <v>1.6870467928234885E-2</v>
      </c>
      <c r="CU62" s="17"/>
      <c r="CV62" s="1" t="s">
        <v>228</v>
      </c>
      <c r="CW62" s="250"/>
      <c r="CX62" s="45">
        <f>'Var Erstellung'!$D$128+'Var Erstellung'!$D$129</f>
        <v>40</v>
      </c>
      <c r="CY62" s="61">
        <f>'Var Vorgaben'!$C$30</f>
        <v>22.62</v>
      </c>
      <c r="CZ62" s="43">
        <f t="shared" si="78"/>
        <v>904.80000000000007</v>
      </c>
      <c r="DA62" s="42">
        <f t="shared" si="62"/>
        <v>1.6480589679697802E-2</v>
      </c>
      <c r="DB62" s="17"/>
      <c r="DC62" s="1" t="s">
        <v>228</v>
      </c>
      <c r="DD62" s="250"/>
      <c r="DE62" s="45">
        <f>'Var Erstellung'!$D$128+'Var Erstellung'!$D$129</f>
        <v>40</v>
      </c>
      <c r="DF62" s="61">
        <f>'Var Vorgaben'!$C$30</f>
        <v>22.62</v>
      </c>
      <c r="DG62" s="43">
        <f t="shared" si="79"/>
        <v>904.80000000000007</v>
      </c>
      <c r="DH62" s="42">
        <f t="shared" si="63"/>
        <v>1.5275531953882563E-2</v>
      </c>
    </row>
    <row r="63" spans="1:112" x14ac:dyDescent="0.2">
      <c r="B63" t="s">
        <v>509</v>
      </c>
      <c r="C63" s="250"/>
      <c r="D63" s="46">
        <v>0</v>
      </c>
      <c r="E63" s="61">
        <f>'Var Vorgaben'!$C$30</f>
        <v>22.62</v>
      </c>
      <c r="F63" s="43">
        <f t="shared" ref="F63" si="82">D63*E63</f>
        <v>0</v>
      </c>
      <c r="G63" s="42">
        <f t="shared" si="48"/>
        <v>0</v>
      </c>
      <c r="H63" s="17"/>
      <c r="I63" t="s">
        <v>509</v>
      </c>
      <c r="J63" s="250"/>
      <c r="K63" s="46">
        <v>0</v>
      </c>
      <c r="L63" s="61">
        <f>'Var Vorgaben'!$C$30</f>
        <v>22.62</v>
      </c>
      <c r="M63" s="43">
        <f t="shared" ref="M63" si="83">K63*L63</f>
        <v>0</v>
      </c>
      <c r="N63" s="42">
        <f t="shared" si="49"/>
        <v>0</v>
      </c>
      <c r="O63" s="3"/>
      <c r="P63" t="s">
        <v>509</v>
      </c>
      <c r="Q63" s="250"/>
      <c r="R63" s="45">
        <f>'Var Erstellung'!$E$139</f>
        <v>0</v>
      </c>
      <c r="S63" s="61">
        <f>'Var Vorgaben'!$C$30</f>
        <v>22.62</v>
      </c>
      <c r="T63" s="43">
        <f t="shared" si="80"/>
        <v>0</v>
      </c>
      <c r="U63" s="42">
        <f t="shared" si="50"/>
        <v>0</v>
      </c>
      <c r="V63" s="17"/>
      <c r="W63" t="s">
        <v>509</v>
      </c>
      <c r="X63" s="250"/>
      <c r="Y63" s="45">
        <f>'Var Erstellung'!$E$139</f>
        <v>0</v>
      </c>
      <c r="Z63" s="61">
        <f>'Var Vorgaben'!$C$30</f>
        <v>22.62</v>
      </c>
      <c r="AA63" s="43">
        <f t="shared" si="81"/>
        <v>0</v>
      </c>
      <c r="AB63" s="42">
        <f t="shared" si="51"/>
        <v>0</v>
      </c>
      <c r="AC63" s="17"/>
      <c r="AD63" t="s">
        <v>509</v>
      </c>
      <c r="AE63" s="250"/>
      <c r="AF63" s="45">
        <f>'Var Erstellung'!$E$139</f>
        <v>0</v>
      </c>
      <c r="AG63" s="61">
        <f>'Var Vorgaben'!$C$30</f>
        <v>22.62</v>
      </c>
      <c r="AH63" s="43">
        <f t="shared" si="68"/>
        <v>0</v>
      </c>
      <c r="AI63" s="42">
        <f t="shared" si="52"/>
        <v>0</v>
      </c>
      <c r="AJ63" s="17"/>
      <c r="AK63" t="s">
        <v>509</v>
      </c>
      <c r="AL63" s="250"/>
      <c r="AM63" s="45">
        <f>'Var Erstellung'!$E$139</f>
        <v>0</v>
      </c>
      <c r="AN63" s="61">
        <f>'Var Vorgaben'!$C$30</f>
        <v>22.62</v>
      </c>
      <c r="AO63" s="43">
        <f t="shared" si="69"/>
        <v>0</v>
      </c>
      <c r="AP63" s="42">
        <f t="shared" si="53"/>
        <v>0</v>
      </c>
      <c r="AQ63" s="17"/>
      <c r="AR63" t="s">
        <v>509</v>
      </c>
      <c r="AS63" s="250"/>
      <c r="AT63" s="45">
        <f>'Var Erstellung'!$E$139</f>
        <v>0</v>
      </c>
      <c r="AU63" s="61">
        <f>'Var Vorgaben'!$C$30</f>
        <v>22.62</v>
      </c>
      <c r="AV63" s="43">
        <f t="shared" si="70"/>
        <v>0</v>
      </c>
      <c r="AW63" s="42">
        <f t="shared" si="54"/>
        <v>0</v>
      </c>
      <c r="AX63" s="17"/>
      <c r="AY63" t="s">
        <v>509</v>
      </c>
      <c r="AZ63" s="250"/>
      <c r="BA63" s="45">
        <f>'Var Erstellung'!$E$139</f>
        <v>0</v>
      </c>
      <c r="BB63" s="61">
        <f>'Var Vorgaben'!$C$30</f>
        <v>22.62</v>
      </c>
      <c r="BC63" s="43">
        <f t="shared" si="71"/>
        <v>0</v>
      </c>
      <c r="BD63" s="42">
        <f t="shared" si="55"/>
        <v>0</v>
      </c>
      <c r="BE63" s="17"/>
      <c r="BF63" t="s">
        <v>509</v>
      </c>
      <c r="BG63" s="250"/>
      <c r="BH63" s="45">
        <f>'Var Erstellung'!$E$139</f>
        <v>0</v>
      </c>
      <c r="BI63" s="61">
        <f>'Var Vorgaben'!$C$30</f>
        <v>22.62</v>
      </c>
      <c r="BJ63" s="43">
        <f t="shared" si="72"/>
        <v>0</v>
      </c>
      <c r="BK63" s="42">
        <f t="shared" si="56"/>
        <v>0</v>
      </c>
      <c r="BL63" s="17"/>
      <c r="BM63" s="1353" t="s">
        <v>532</v>
      </c>
      <c r="BN63" s="250"/>
      <c r="BO63" s="45">
        <f>'Var Erstellung'!D182+('Var Erstellung'!E139/2)</f>
        <v>0</v>
      </c>
      <c r="BP63" s="61">
        <f>'Var Vorgaben'!$C$30</f>
        <v>22.62</v>
      </c>
      <c r="BQ63" s="43">
        <f>BO63*BP63</f>
        <v>0</v>
      </c>
      <c r="BR63" s="42">
        <f>BQ64/$BQ$73</f>
        <v>2.3017719910151248E-2</v>
      </c>
      <c r="BS63" s="17"/>
      <c r="BT63" t="s">
        <v>509</v>
      </c>
      <c r="BU63" s="250"/>
      <c r="BV63" s="45">
        <f>'Var Erstellung'!$E$139</f>
        <v>0</v>
      </c>
      <c r="BW63" s="61">
        <f>'Var Vorgaben'!$C$30</f>
        <v>22.62</v>
      </c>
      <c r="BX63" s="43">
        <f t="shared" si="74"/>
        <v>0</v>
      </c>
      <c r="BY63" s="42">
        <f t="shared" si="58"/>
        <v>0</v>
      </c>
      <c r="BZ63" s="17"/>
      <c r="CA63" t="s">
        <v>509</v>
      </c>
      <c r="CB63" s="250"/>
      <c r="CC63" s="45">
        <f>'Var Erstellung'!$E$139</f>
        <v>0</v>
      </c>
      <c r="CD63" s="61">
        <f>'Var Vorgaben'!$C$30</f>
        <v>22.62</v>
      </c>
      <c r="CE63" s="43">
        <f t="shared" si="75"/>
        <v>0</v>
      </c>
      <c r="CF63" s="42">
        <f t="shared" si="59"/>
        <v>0</v>
      </c>
      <c r="CG63" s="17"/>
      <c r="CH63" t="s">
        <v>509</v>
      </c>
      <c r="CI63" s="250"/>
      <c r="CJ63" s="45">
        <f>'Var Erstellung'!$E$139</f>
        <v>0</v>
      </c>
      <c r="CK63" s="61">
        <f>'Var Vorgaben'!$C$30</f>
        <v>22.62</v>
      </c>
      <c r="CL63" s="43">
        <f t="shared" si="76"/>
        <v>0</v>
      </c>
      <c r="CM63" s="42">
        <f t="shared" si="60"/>
        <v>0</v>
      </c>
      <c r="CN63" s="17"/>
      <c r="CO63" t="s">
        <v>509</v>
      </c>
      <c r="CP63" s="250"/>
      <c r="CQ63" s="45">
        <f>'Var Erstellung'!$E$139</f>
        <v>0</v>
      </c>
      <c r="CR63" s="61">
        <f>'Var Vorgaben'!$C$30</f>
        <v>22.62</v>
      </c>
      <c r="CS63" s="43">
        <f t="shared" si="77"/>
        <v>0</v>
      </c>
      <c r="CT63" s="42">
        <f t="shared" si="61"/>
        <v>0</v>
      </c>
      <c r="CU63" s="17"/>
      <c r="CV63" t="s">
        <v>509</v>
      </c>
      <c r="CW63" s="250"/>
      <c r="CX63" s="45">
        <f>'Var Erstellung'!$E$139</f>
        <v>0</v>
      </c>
      <c r="CY63" s="61">
        <f>'Var Vorgaben'!$C$30</f>
        <v>22.62</v>
      </c>
      <c r="CZ63" s="43">
        <f t="shared" si="78"/>
        <v>0</v>
      </c>
      <c r="DA63" s="42">
        <f t="shared" si="62"/>
        <v>0</v>
      </c>
      <c r="DB63" s="17"/>
      <c r="DC63" t="s">
        <v>509</v>
      </c>
      <c r="DD63" s="250"/>
      <c r="DE63" s="45">
        <f>'Var Erstellung'!$E$139</f>
        <v>0</v>
      </c>
      <c r="DF63" s="61">
        <f>'Var Vorgaben'!$C$30</f>
        <v>22.62</v>
      </c>
      <c r="DG63" s="43">
        <f t="shared" si="79"/>
        <v>0</v>
      </c>
      <c r="DH63" s="42">
        <f t="shared" si="63"/>
        <v>0</v>
      </c>
    </row>
    <row r="64" spans="1:112" s="1" customFormat="1" x14ac:dyDescent="0.2">
      <c r="A64" s="3"/>
      <c r="B64" s="1" t="s">
        <v>527</v>
      </c>
      <c r="C64" s="250"/>
      <c r="D64" s="45">
        <v>0</v>
      </c>
      <c r="E64" s="61">
        <f>'Var Vorgaben'!$C$30</f>
        <v>22.62</v>
      </c>
      <c r="F64" s="43">
        <f>D64*E64</f>
        <v>0</v>
      </c>
      <c r="G64" s="385">
        <f t="shared" si="48"/>
        <v>0</v>
      </c>
      <c r="H64" s="3"/>
      <c r="I64" s="1" t="s">
        <v>527</v>
      </c>
      <c r="J64" s="250"/>
      <c r="K64" s="45">
        <v>0</v>
      </c>
      <c r="L64" s="61">
        <f>'Var Vorgaben'!$C$30</f>
        <v>22.62</v>
      </c>
      <c r="M64" s="43">
        <f>K64*L64</f>
        <v>0</v>
      </c>
      <c r="N64" s="385">
        <f t="shared" si="49"/>
        <v>0</v>
      </c>
      <c r="O64" s="3"/>
      <c r="P64" s="1" t="s">
        <v>527</v>
      </c>
      <c r="Q64" s="250"/>
      <c r="R64" s="45">
        <f>'Var Erstellung'!$D$143</f>
        <v>20</v>
      </c>
      <c r="S64" s="61">
        <f>'Var Vorgaben'!$C$30</f>
        <v>22.62</v>
      </c>
      <c r="T64" s="43">
        <f>R64*S64</f>
        <v>452.40000000000003</v>
      </c>
      <c r="U64" s="385">
        <f t="shared" si="50"/>
        <v>5.2815957109340972E-3</v>
      </c>
      <c r="V64" s="3"/>
      <c r="W64" s="1" t="s">
        <v>527</v>
      </c>
      <c r="X64" s="250"/>
      <c r="Y64" s="45">
        <f>'Var Erstellung'!$D$143</f>
        <v>20</v>
      </c>
      <c r="Z64" s="61">
        <f>'Var Vorgaben'!$C$30</f>
        <v>22.62</v>
      </c>
      <c r="AA64" s="43">
        <f>Y64*Z64</f>
        <v>452.40000000000003</v>
      </c>
      <c r="AB64" s="385">
        <f t="shared" si="51"/>
        <v>1.3453530144475128E-2</v>
      </c>
      <c r="AC64" s="3"/>
      <c r="AD64" s="1" t="s">
        <v>527</v>
      </c>
      <c r="AE64" s="250"/>
      <c r="AF64" s="45">
        <f>'Var Erstellung'!$D$143</f>
        <v>20</v>
      </c>
      <c r="AG64" s="61">
        <f>'Var Vorgaben'!$C$30</f>
        <v>22.62</v>
      </c>
      <c r="AH64" s="43">
        <f>AF64*AG64</f>
        <v>452.40000000000003</v>
      </c>
      <c r="AI64" s="385">
        <f t="shared" si="52"/>
        <v>8.2341000837025616E-3</v>
      </c>
      <c r="AJ64" s="3"/>
      <c r="AK64" s="1" t="s">
        <v>527</v>
      </c>
      <c r="AL64" s="250"/>
      <c r="AM64" s="45">
        <f>'Var Erstellung'!$D$143</f>
        <v>20</v>
      </c>
      <c r="AN64" s="61">
        <f>'Var Vorgaben'!$C$30</f>
        <v>22.62</v>
      </c>
      <c r="AO64" s="43">
        <f>AM64*AN64</f>
        <v>452.40000000000003</v>
      </c>
      <c r="AP64" s="385">
        <f t="shared" si="53"/>
        <v>8.0465563403180583E-3</v>
      </c>
      <c r="AQ64" s="3"/>
      <c r="AR64" s="1" t="s">
        <v>527</v>
      </c>
      <c r="AS64" s="250"/>
      <c r="AT64" s="45">
        <f>'Var Erstellung'!$D$143</f>
        <v>20</v>
      </c>
      <c r="AU64" s="61">
        <f>'Var Vorgaben'!$C$30</f>
        <v>22.62</v>
      </c>
      <c r="AV64" s="43">
        <f>AT64*AU64</f>
        <v>452.40000000000003</v>
      </c>
      <c r="AW64" s="385">
        <f t="shared" si="54"/>
        <v>8.2909170139317655E-3</v>
      </c>
      <c r="AX64" s="3"/>
      <c r="AY64" s="1" t="s">
        <v>527</v>
      </c>
      <c r="AZ64" s="250"/>
      <c r="BA64" s="45">
        <f>'Var Erstellung'!$D$143</f>
        <v>20</v>
      </c>
      <c r="BB64" s="61">
        <f>'Var Vorgaben'!$C$30</f>
        <v>22.62</v>
      </c>
      <c r="BC64" s="43">
        <f>BA64*BB64</f>
        <v>452.40000000000003</v>
      </c>
      <c r="BD64" s="385">
        <f t="shared" si="55"/>
        <v>8.3210208702622079E-3</v>
      </c>
      <c r="BE64" s="3"/>
      <c r="BF64" s="1" t="s">
        <v>527</v>
      </c>
      <c r="BG64" s="250"/>
      <c r="BH64" s="45">
        <f>'Var Erstellung'!$D$143</f>
        <v>20</v>
      </c>
      <c r="BI64" s="61">
        <f>'Var Vorgaben'!$C$30</f>
        <v>22.62</v>
      </c>
      <c r="BJ64" s="43">
        <f>BH64*BI64</f>
        <v>452.40000000000003</v>
      </c>
      <c r="BK64" s="385"/>
      <c r="BL64" s="3"/>
      <c r="BM64" s="1351" t="s">
        <v>533</v>
      </c>
      <c r="BN64" s="250"/>
      <c r="BO64" s="45">
        <f>'Var Erstellung'!D181+('Var Erstellung'!D143/2)</f>
        <v>60</v>
      </c>
      <c r="BP64" s="61">
        <f>'Var Vorgaben'!$C$30</f>
        <v>22.62</v>
      </c>
      <c r="BQ64" s="43">
        <f>BO64*BP64</f>
        <v>1357.2</v>
      </c>
      <c r="BR64" s="385" t="e">
        <f>#REF!/$BQ$73</f>
        <v>#REF!</v>
      </c>
      <c r="BS64" s="3"/>
      <c r="BT64" s="1" t="s">
        <v>527</v>
      </c>
      <c r="BU64" s="250"/>
      <c r="BV64" s="45">
        <f>'Var Erstellung'!$D$143</f>
        <v>20</v>
      </c>
      <c r="BW64" s="61">
        <f>'Var Vorgaben'!$C$30</f>
        <v>22.62</v>
      </c>
      <c r="BX64" s="43">
        <f>BV64*BW64</f>
        <v>452.40000000000003</v>
      </c>
      <c r="BY64" s="385">
        <f t="shared" si="58"/>
        <v>8.3429186001858988E-3</v>
      </c>
      <c r="BZ64" s="3"/>
      <c r="CA64" s="1" t="s">
        <v>527</v>
      </c>
      <c r="CB64" s="250"/>
      <c r="CC64" s="45">
        <f>'Var Erstellung'!$D$143</f>
        <v>20</v>
      </c>
      <c r="CD64" s="61">
        <f>'Var Vorgaben'!$C$30</f>
        <v>22.62</v>
      </c>
      <c r="CE64" s="43">
        <f>CC64*CD64</f>
        <v>452.40000000000003</v>
      </c>
      <c r="CF64" s="385">
        <f t="shared" si="59"/>
        <v>8.1513901958980544E-3</v>
      </c>
      <c r="CG64" s="3"/>
      <c r="CH64" s="1" t="s">
        <v>527</v>
      </c>
      <c r="CI64" s="250"/>
      <c r="CJ64" s="45">
        <f>'Var Erstellung'!$D$143</f>
        <v>20</v>
      </c>
      <c r="CK64" s="61">
        <f>'Var Vorgaben'!$C$30</f>
        <v>22.62</v>
      </c>
      <c r="CL64" s="43">
        <f>CJ64*CK64</f>
        <v>452.40000000000003</v>
      </c>
      <c r="CM64" s="385">
        <f t="shared" si="60"/>
        <v>8.403274523764161E-3</v>
      </c>
      <c r="CN64" s="3"/>
      <c r="CO64" s="1" t="s">
        <v>527</v>
      </c>
      <c r="CP64" s="250"/>
      <c r="CQ64" s="45">
        <f>'Var Erstellung'!$D$143</f>
        <v>20</v>
      </c>
      <c r="CR64" s="61">
        <f>'Var Vorgaben'!$C$30</f>
        <v>22.62</v>
      </c>
      <c r="CS64" s="43">
        <f>CQ64*CR64</f>
        <v>452.40000000000003</v>
      </c>
      <c r="CT64" s="385">
        <f t="shared" si="61"/>
        <v>8.4352339641174424E-3</v>
      </c>
      <c r="CU64" s="3"/>
      <c r="CV64" s="1" t="s">
        <v>527</v>
      </c>
      <c r="CW64" s="250"/>
      <c r="CX64" s="45">
        <f>'Var Erstellung'!$D$143</f>
        <v>20</v>
      </c>
      <c r="CY64" s="61">
        <f>'Var Vorgaben'!$C$30</f>
        <v>22.62</v>
      </c>
      <c r="CZ64" s="43">
        <f>CX64*CY64</f>
        <v>452.40000000000003</v>
      </c>
      <c r="DA64" s="385">
        <f t="shared" si="62"/>
        <v>8.2402948398489009E-3</v>
      </c>
      <c r="DB64" s="3"/>
      <c r="DC64" s="1" t="s">
        <v>527</v>
      </c>
      <c r="DD64" s="250"/>
      <c r="DE64" s="45">
        <f>'Var Erstellung'!$D$143</f>
        <v>20</v>
      </c>
      <c r="DF64" s="61">
        <f>'Var Vorgaben'!$C$30</f>
        <v>22.62</v>
      </c>
      <c r="DG64" s="43">
        <f>DE64*DF64</f>
        <v>452.40000000000003</v>
      </c>
      <c r="DH64" s="385">
        <f t="shared" si="63"/>
        <v>7.6377659769412817E-3</v>
      </c>
    </row>
    <row r="65" spans="1:113" x14ac:dyDescent="0.2">
      <c r="B65" s="1" t="s">
        <v>400</v>
      </c>
      <c r="C65" s="250"/>
      <c r="D65" s="45">
        <f>'Var Erstellung'!$D$147+'Var Erstellung'!$D$148</f>
        <v>14</v>
      </c>
      <c r="E65" s="61">
        <f>'Var Vorgaben'!$C$31</f>
        <v>32.700000000000003</v>
      </c>
      <c r="F65" s="43">
        <f t="shared" si="64"/>
        <v>457.80000000000007</v>
      </c>
      <c r="G65" s="42">
        <f t="shared" si="48"/>
        <v>3.793017609625865E-2</v>
      </c>
      <c r="H65" s="17"/>
      <c r="I65" s="1" t="s">
        <v>400</v>
      </c>
      <c r="J65" s="250"/>
      <c r="K65" s="45">
        <f>'Var Erstellung'!$D$147+'Var Erstellung'!$D$148</f>
        <v>14</v>
      </c>
      <c r="L65" s="61">
        <f>'Var Vorgaben'!$C$31</f>
        <v>32.700000000000003</v>
      </c>
      <c r="M65" s="43">
        <f t="shared" ref="M65:M66" si="84">K65*L65</f>
        <v>457.80000000000007</v>
      </c>
      <c r="N65" s="42">
        <f t="shared" si="49"/>
        <v>3.7520371348303556E-2</v>
      </c>
      <c r="O65" s="17"/>
      <c r="P65" s="1" t="s">
        <v>400</v>
      </c>
      <c r="Q65" s="250"/>
      <c r="R65" s="45">
        <f>'Var Erstellung'!$D$147+'Var Erstellung'!$D$148</f>
        <v>14</v>
      </c>
      <c r="S65" s="61">
        <f>'Var Vorgaben'!$C$31</f>
        <v>32.700000000000003</v>
      </c>
      <c r="T65" s="43">
        <f t="shared" ref="T65:T66" si="85">R65*S65</f>
        <v>457.80000000000007</v>
      </c>
      <c r="U65" s="42">
        <f t="shared" si="50"/>
        <v>5.344638630560632E-3</v>
      </c>
      <c r="V65" s="17"/>
      <c r="W65" s="1" t="s">
        <v>400</v>
      </c>
      <c r="X65" s="250"/>
      <c r="Y65" s="45">
        <f>'Var Erstellung'!$D$147+'Var Erstellung'!$D$148</f>
        <v>14</v>
      </c>
      <c r="Z65" s="61">
        <f>'Var Vorgaben'!$C$31</f>
        <v>32.700000000000003</v>
      </c>
      <c r="AA65" s="43">
        <f t="shared" ref="AA65:AA66" si="86">Y65*Z65</f>
        <v>457.80000000000007</v>
      </c>
      <c r="AB65" s="42">
        <f t="shared" si="51"/>
        <v>1.3614116048056398E-2</v>
      </c>
      <c r="AC65" s="17"/>
      <c r="AD65" s="1" t="s">
        <v>400</v>
      </c>
      <c r="AE65" s="250"/>
      <c r="AF65" s="45">
        <f>'Var Erstellung'!$D$147+'Var Erstellung'!$D$148</f>
        <v>14</v>
      </c>
      <c r="AG65" s="61">
        <f>'Var Vorgaben'!$C$31</f>
        <v>32.700000000000003</v>
      </c>
      <c r="AH65" s="43">
        <f t="shared" ref="AH65:AH66" si="87">AF65*AG65</f>
        <v>457.80000000000007</v>
      </c>
      <c r="AI65" s="42">
        <f t="shared" si="52"/>
        <v>8.3323850979642629E-3</v>
      </c>
      <c r="AJ65" s="17"/>
      <c r="AK65" s="1" t="s">
        <v>400</v>
      </c>
      <c r="AL65" s="250"/>
      <c r="AM65" s="45">
        <f>'Var Erstellung'!$D$147+'Var Erstellung'!$D$148</f>
        <v>14</v>
      </c>
      <c r="AN65" s="61">
        <f>'Var Vorgaben'!$C$31</f>
        <v>32.700000000000003</v>
      </c>
      <c r="AO65" s="43">
        <f t="shared" ref="AO65:AO66" si="88">AM65*AN65</f>
        <v>457.80000000000007</v>
      </c>
      <c r="AP65" s="42">
        <f t="shared" si="53"/>
        <v>8.1426027687833934E-3</v>
      </c>
      <c r="AQ65" s="17"/>
      <c r="AR65" s="1" t="s">
        <v>400</v>
      </c>
      <c r="AS65" s="250"/>
      <c r="AT65" s="45">
        <f>'Var Erstellung'!$D$147+'Var Erstellung'!$D$148</f>
        <v>14</v>
      </c>
      <c r="AU65" s="61">
        <f>'Var Vorgaben'!$C$31</f>
        <v>32.700000000000003</v>
      </c>
      <c r="AV65" s="43">
        <f t="shared" ref="AV65:AV66" si="89">AT65*AU65</f>
        <v>457.80000000000007</v>
      </c>
      <c r="AW65" s="42">
        <f t="shared" si="54"/>
        <v>8.3898802143633124E-3</v>
      </c>
      <c r="AX65" s="17"/>
      <c r="AY65" s="1" t="s">
        <v>400</v>
      </c>
      <c r="AZ65" s="250"/>
      <c r="BA65" s="45">
        <f>'Var Erstellung'!$D$147+'Var Erstellung'!$D$148</f>
        <v>14</v>
      </c>
      <c r="BB65" s="61">
        <f>'Var Vorgaben'!$C$31</f>
        <v>32.700000000000003</v>
      </c>
      <c r="BC65" s="43">
        <f t="shared" ref="BC65:BC66" si="90">BA65*BB65</f>
        <v>457.80000000000007</v>
      </c>
      <c r="BD65" s="42">
        <f t="shared" si="55"/>
        <v>8.4203434005438518E-3</v>
      </c>
      <c r="BE65" s="17"/>
      <c r="BF65" s="1" t="s">
        <v>400</v>
      </c>
      <c r="BG65" s="250"/>
      <c r="BH65" s="45">
        <f>'Var Erstellung'!$D$147+'Var Erstellung'!$D$148</f>
        <v>14</v>
      </c>
      <c r="BI65" s="61">
        <f>'Var Vorgaben'!$C$31</f>
        <v>32.700000000000003</v>
      </c>
      <c r="BJ65" s="43">
        <f t="shared" ref="BJ65:BJ66" si="91">BH65*BI65</f>
        <v>457.80000000000007</v>
      </c>
      <c r="BK65" s="42">
        <f t="shared" ref="BK65:BK73" si="92">BJ65/$BJ$73</f>
        <v>4.5637276833273678E-3</v>
      </c>
      <c r="BL65" s="17"/>
      <c r="BM65" s="1" t="s">
        <v>400</v>
      </c>
      <c r="BN65" s="250"/>
      <c r="BO65" s="45">
        <f>'Var Erstellung'!$D$147+'Var Erstellung'!$D$148</f>
        <v>14</v>
      </c>
      <c r="BP65" s="61">
        <f>'Var Vorgaben'!$C$31</f>
        <v>32.700000000000003</v>
      </c>
      <c r="BQ65" s="43">
        <f t="shared" ref="BQ65:BQ66" si="93">BO65*BP65</f>
        <v>457.80000000000007</v>
      </c>
      <c r="BR65" s="42">
        <f t="shared" si="57"/>
        <v>7.7641557433445647E-3</v>
      </c>
      <c r="BS65" s="17"/>
      <c r="BT65" s="1" t="s">
        <v>400</v>
      </c>
      <c r="BU65" s="250"/>
      <c r="BV65" s="45">
        <f>'Var Erstellung'!$D$147+'Var Erstellung'!$D$148</f>
        <v>14</v>
      </c>
      <c r="BW65" s="61">
        <f>'Var Vorgaben'!$C$31</f>
        <v>32.700000000000003</v>
      </c>
      <c r="BX65" s="43">
        <f t="shared" ref="BX65:BX66" si="94">BV65*BW65</f>
        <v>457.80000000000007</v>
      </c>
      <c r="BY65" s="42">
        <f t="shared" si="58"/>
        <v>8.4425025092066848E-3</v>
      </c>
      <c r="BZ65" s="17"/>
      <c r="CA65" s="1" t="s">
        <v>400</v>
      </c>
      <c r="CB65" s="250"/>
      <c r="CC65" s="45">
        <f>'Var Erstellung'!$D$147+'Var Erstellung'!$D$148</f>
        <v>14</v>
      </c>
      <c r="CD65" s="61">
        <f>'Var Vorgaben'!$C$31</f>
        <v>32.700000000000003</v>
      </c>
      <c r="CE65" s="43">
        <f t="shared" ref="CE65:CE66" si="95">CC65*CD65</f>
        <v>457.80000000000007</v>
      </c>
      <c r="CF65" s="42">
        <f t="shared" si="59"/>
        <v>8.2486879568570495E-3</v>
      </c>
      <c r="CG65" s="17"/>
      <c r="CH65" s="1" t="s">
        <v>400</v>
      </c>
      <c r="CI65" s="250"/>
      <c r="CJ65" s="45">
        <f>'Var Erstellung'!$D$147+'Var Erstellung'!$D$148</f>
        <v>14</v>
      </c>
      <c r="CK65" s="61">
        <f>'Var Vorgaben'!$C$31</f>
        <v>32.700000000000003</v>
      </c>
      <c r="CL65" s="43">
        <f t="shared" ref="CL65:CL66" si="96">CJ65*CK65</f>
        <v>457.80000000000007</v>
      </c>
      <c r="CM65" s="42">
        <f t="shared" si="60"/>
        <v>8.5035788615809762E-3</v>
      </c>
      <c r="CN65" s="17"/>
      <c r="CO65" s="1" t="s">
        <v>400</v>
      </c>
      <c r="CP65" s="250"/>
      <c r="CQ65" s="45">
        <f>'Var Erstellung'!$D$147+'Var Erstellung'!$D$148</f>
        <v>14</v>
      </c>
      <c r="CR65" s="61">
        <f>'Var Vorgaben'!$C$31</f>
        <v>32.700000000000003</v>
      </c>
      <c r="CS65" s="43">
        <f t="shared" ref="CS65:CS66" si="97">CQ65*CR65</f>
        <v>457.80000000000007</v>
      </c>
      <c r="CT65" s="42">
        <f t="shared" si="61"/>
        <v>8.5359197806652645E-3</v>
      </c>
      <c r="CU65" s="17"/>
      <c r="CV65" s="1" t="s">
        <v>400</v>
      </c>
      <c r="CW65" s="250"/>
      <c r="CX65" s="45">
        <f>'Var Erstellung'!$D$147+'Var Erstellung'!$D$148</f>
        <v>14</v>
      </c>
      <c r="CY65" s="61">
        <f>'Var Vorgaben'!$C$31</f>
        <v>32.700000000000003</v>
      </c>
      <c r="CZ65" s="43">
        <f t="shared" ref="CZ65:CZ66" si="98">CX65*CY65</f>
        <v>457.80000000000007</v>
      </c>
      <c r="DA65" s="42">
        <f t="shared" si="62"/>
        <v>8.3386537968232251E-3</v>
      </c>
      <c r="DB65" s="17"/>
      <c r="DC65" s="1" t="s">
        <v>400</v>
      </c>
      <c r="DD65" s="250"/>
      <c r="DE65" s="45">
        <f>'Var Erstellung'!$D$147+'Var Erstellung'!$D$148</f>
        <v>14</v>
      </c>
      <c r="DF65" s="61">
        <f>'Var Vorgaben'!$C$31</f>
        <v>32.700000000000003</v>
      </c>
      <c r="DG65" s="43">
        <f t="shared" ref="DG65:DG66" si="99">DE65*DF65</f>
        <v>457.80000000000007</v>
      </c>
      <c r="DH65" s="42">
        <f t="shared" si="63"/>
        <v>7.7289329448358068E-3</v>
      </c>
    </row>
    <row r="66" spans="1:113" x14ac:dyDescent="0.2">
      <c r="B66" s="4" t="s">
        <v>116</v>
      </c>
      <c r="C66" s="45"/>
      <c r="D66" s="50">
        <f>'Var Vorgaben'!F88+'Var Vorgaben'!G88</f>
        <v>30</v>
      </c>
      <c r="E66" s="61">
        <f>'Var Vorgaben'!$C$27</f>
        <v>41.4</v>
      </c>
      <c r="F66" s="59">
        <f t="shared" si="64"/>
        <v>1242</v>
      </c>
      <c r="G66" s="42">
        <f t="shared" si="48"/>
        <v>0.10290362322313945</v>
      </c>
      <c r="H66" s="17"/>
      <c r="I66" s="4" t="s">
        <v>116</v>
      </c>
      <c r="J66" s="45"/>
      <c r="K66" s="50">
        <f>'Var Vorgaben'!F89+'Var Vorgaben'!G89</f>
        <v>30</v>
      </c>
      <c r="L66" s="61">
        <f>'Var Vorgaben'!$C$27</f>
        <v>41.4</v>
      </c>
      <c r="M66" s="59">
        <f t="shared" si="84"/>
        <v>1242</v>
      </c>
      <c r="N66" s="42">
        <f t="shared" si="49"/>
        <v>0.10179183314677372</v>
      </c>
      <c r="O66" s="17"/>
      <c r="P66" s="4" t="s">
        <v>116</v>
      </c>
      <c r="Q66" s="45"/>
      <c r="R66" s="50">
        <f>'Var Vorgaben'!$F$87+'Var Vorgaben'!$G$87</f>
        <v>50</v>
      </c>
      <c r="S66" s="61">
        <f>'Var Vorgaben'!$C$27</f>
        <v>41.4</v>
      </c>
      <c r="T66" s="59">
        <f t="shared" si="85"/>
        <v>2070</v>
      </c>
      <c r="U66" s="42">
        <f t="shared" si="50"/>
        <v>2.4166452523504817E-2</v>
      </c>
      <c r="V66" s="17"/>
      <c r="W66" s="4" t="s">
        <v>116</v>
      </c>
      <c r="X66" s="45"/>
      <c r="Y66" s="50">
        <f>'Var Vorgaben'!$F$87+'Var Vorgaben'!$G$87</f>
        <v>50</v>
      </c>
      <c r="Z66" s="61">
        <f>'Var Vorgaben'!$C$27</f>
        <v>41.4</v>
      </c>
      <c r="AA66" s="59">
        <f t="shared" si="86"/>
        <v>2070</v>
      </c>
      <c r="AB66" s="42">
        <f t="shared" si="51"/>
        <v>6.1557929706152772E-2</v>
      </c>
      <c r="AC66" s="17"/>
      <c r="AD66" s="4" t="s">
        <v>116</v>
      </c>
      <c r="AE66" s="45"/>
      <c r="AF66" s="50">
        <f>'Var Vorgaben'!$F$87+'Var Vorgaben'!$G$87</f>
        <v>50</v>
      </c>
      <c r="AG66" s="61">
        <f>'Var Vorgaben'!$C$27</f>
        <v>41.4</v>
      </c>
      <c r="AH66" s="59">
        <f t="shared" si="87"/>
        <v>2070</v>
      </c>
      <c r="AI66" s="42">
        <f t="shared" si="52"/>
        <v>3.7675922133652298E-2</v>
      </c>
      <c r="AJ66" s="17"/>
      <c r="AK66" s="4" t="s">
        <v>116</v>
      </c>
      <c r="AL66" s="45"/>
      <c r="AM66" s="50">
        <f>'Var Vorgaben'!$F$87+'Var Vorgaben'!$G$87</f>
        <v>50</v>
      </c>
      <c r="AN66" s="61">
        <f>'Var Vorgaben'!$C$27</f>
        <v>41.4</v>
      </c>
      <c r="AO66" s="59">
        <f t="shared" si="88"/>
        <v>2070</v>
      </c>
      <c r="AP66" s="42">
        <f t="shared" si="53"/>
        <v>3.6817797578378379E-2</v>
      </c>
      <c r="AQ66" s="17"/>
      <c r="AR66" s="4" t="s">
        <v>116</v>
      </c>
      <c r="AS66" s="45"/>
      <c r="AT66" s="50">
        <f>'Var Vorgaben'!$F$87+'Var Vorgaben'!$G$87</f>
        <v>50</v>
      </c>
      <c r="AU66" s="61">
        <f>'Var Vorgaben'!$C$27</f>
        <v>41.4</v>
      </c>
      <c r="AV66" s="59">
        <f t="shared" si="89"/>
        <v>2070</v>
      </c>
      <c r="AW66" s="42">
        <f t="shared" si="54"/>
        <v>3.79358934987594E-2</v>
      </c>
      <c r="AX66" s="17"/>
      <c r="AY66" s="4" t="s">
        <v>116</v>
      </c>
      <c r="AZ66" s="45"/>
      <c r="BA66" s="50">
        <f>'Var Vorgaben'!$F$87+'Var Vorgaben'!$G$87</f>
        <v>50</v>
      </c>
      <c r="BB66" s="61">
        <f>'Var Vorgaben'!$C$27</f>
        <v>41.4</v>
      </c>
      <c r="BC66" s="59">
        <f t="shared" si="90"/>
        <v>2070</v>
      </c>
      <c r="BD66" s="42">
        <f t="shared" si="55"/>
        <v>3.807363660796368E-2</v>
      </c>
      <c r="BE66" s="17"/>
      <c r="BF66" s="4" t="s">
        <v>116</v>
      </c>
      <c r="BG66" s="45"/>
      <c r="BH66" s="50">
        <f>'Var Vorgaben'!$F$87+'Var Vorgaben'!$G$87</f>
        <v>50</v>
      </c>
      <c r="BI66" s="61">
        <f>'Var Vorgaben'!$C$27</f>
        <v>41.4</v>
      </c>
      <c r="BJ66" s="59">
        <f t="shared" si="91"/>
        <v>2070</v>
      </c>
      <c r="BK66" s="42">
        <f t="shared" si="92"/>
        <v>2.0635465933786915E-2</v>
      </c>
      <c r="BL66" s="17"/>
      <c r="BM66" s="4" t="s">
        <v>116</v>
      </c>
      <c r="BN66" s="45"/>
      <c r="BO66" s="50">
        <f>'Var Vorgaben'!$F$87+'Var Vorgaben'!$G$87</f>
        <v>50</v>
      </c>
      <c r="BP66" s="61">
        <f>'Var Vorgaben'!$C$27</f>
        <v>41.4</v>
      </c>
      <c r="BQ66" s="59">
        <f t="shared" si="93"/>
        <v>2070</v>
      </c>
      <c r="BR66" s="42">
        <f t="shared" si="57"/>
        <v>3.5106601984978697E-2</v>
      </c>
      <c r="BS66" s="17"/>
      <c r="BT66" s="4" t="s">
        <v>116</v>
      </c>
      <c r="BU66" s="45"/>
      <c r="BV66" s="50">
        <f>'Var Vorgaben'!$F$87+'Var Vorgaben'!$G$87</f>
        <v>50</v>
      </c>
      <c r="BW66" s="61">
        <f>'Var Vorgaben'!$C$27</f>
        <v>41.4</v>
      </c>
      <c r="BX66" s="59">
        <f t="shared" si="94"/>
        <v>2070</v>
      </c>
      <c r="BY66" s="42">
        <f t="shared" si="58"/>
        <v>3.8173831791301523E-2</v>
      </c>
      <c r="BZ66" s="17"/>
      <c r="CA66" s="4" t="s">
        <v>116</v>
      </c>
      <c r="CB66" s="45"/>
      <c r="CC66" s="50">
        <f>'Var Vorgaben'!$F$87+'Var Vorgaben'!$G$87</f>
        <v>50</v>
      </c>
      <c r="CD66" s="61">
        <f>'Var Vorgaben'!$C$27</f>
        <v>41.4</v>
      </c>
      <c r="CE66" s="59">
        <f t="shared" si="95"/>
        <v>2070</v>
      </c>
      <c r="CF66" s="42">
        <f t="shared" si="59"/>
        <v>3.7297475034281546E-2</v>
      </c>
      <c r="CG66" s="17"/>
      <c r="CH66" s="4" t="s">
        <v>116</v>
      </c>
      <c r="CI66" s="45"/>
      <c r="CJ66" s="50">
        <f>'Var Vorgaben'!$F$87+'Var Vorgaben'!$G$87</f>
        <v>50</v>
      </c>
      <c r="CK66" s="61">
        <f>'Var Vorgaben'!$C$27</f>
        <v>41.4</v>
      </c>
      <c r="CL66" s="59">
        <f t="shared" si="96"/>
        <v>2070</v>
      </c>
      <c r="CM66" s="42">
        <f t="shared" si="60"/>
        <v>3.8449996163111878E-2</v>
      </c>
      <c r="CN66" s="17"/>
      <c r="CO66" s="4" t="s">
        <v>116</v>
      </c>
      <c r="CP66" s="45"/>
      <c r="CQ66" s="50">
        <f>'Var Vorgaben'!$F$87+'Var Vorgaben'!$G$87</f>
        <v>50</v>
      </c>
      <c r="CR66" s="61">
        <f>'Var Vorgaben'!$C$27</f>
        <v>41.4</v>
      </c>
      <c r="CS66" s="59">
        <f t="shared" si="97"/>
        <v>2070</v>
      </c>
      <c r="CT66" s="42">
        <f t="shared" si="61"/>
        <v>3.8596229676664692E-2</v>
      </c>
      <c r="CU66" s="17"/>
      <c r="CV66" s="4" t="s">
        <v>116</v>
      </c>
      <c r="CW66" s="45"/>
      <c r="CX66" s="50">
        <f>'Var Vorgaben'!$F$87+'Var Vorgaben'!$G$87</f>
        <v>50</v>
      </c>
      <c r="CY66" s="61">
        <f>'Var Vorgaben'!$C$27</f>
        <v>41.4</v>
      </c>
      <c r="CZ66" s="59">
        <f t="shared" si="98"/>
        <v>2070</v>
      </c>
      <c r="DA66" s="42">
        <f t="shared" si="62"/>
        <v>3.7704266840157437E-2</v>
      </c>
      <c r="DB66" s="17"/>
      <c r="DC66" s="4" t="s">
        <v>116</v>
      </c>
      <c r="DD66" s="45"/>
      <c r="DE66" s="50">
        <f>'Var Vorgaben'!$F$87+'Var Vorgaben'!$G$87</f>
        <v>50</v>
      </c>
      <c r="DF66" s="61">
        <f>'Var Vorgaben'!$C$27</f>
        <v>41.4</v>
      </c>
      <c r="DG66" s="59">
        <f t="shared" si="99"/>
        <v>2070</v>
      </c>
      <c r="DH66" s="42">
        <f t="shared" si="63"/>
        <v>3.4947337692901086E-2</v>
      </c>
    </row>
    <row r="67" spans="1:113" ht="13.5" thickBot="1" x14ac:dyDescent="0.25">
      <c r="B67" s="3" t="s">
        <v>13</v>
      </c>
      <c r="C67" s="1311">
        <f>'Var Vorgaben'!$D$65</f>
        <v>12</v>
      </c>
      <c r="D67" s="686">
        <f>D10/C67</f>
        <v>0</v>
      </c>
      <c r="E67" s="61">
        <f>'Var Vorgaben'!$C$30</f>
        <v>22.62</v>
      </c>
      <c r="F67" s="198">
        <f>D67*E67</f>
        <v>0</v>
      </c>
      <c r="G67" s="42">
        <f t="shared" si="48"/>
        <v>0</v>
      </c>
      <c r="H67" s="17"/>
      <c r="I67" s="3" t="s">
        <v>13</v>
      </c>
      <c r="J67" s="1311">
        <f>'Var Vorgaben'!$D$65</f>
        <v>12</v>
      </c>
      <c r="K67" s="686">
        <f>K10/J67</f>
        <v>0</v>
      </c>
      <c r="L67" s="61">
        <f>'Var Vorgaben'!$C$30</f>
        <v>22.62</v>
      </c>
      <c r="M67" s="198">
        <f>K67*L67</f>
        <v>0</v>
      </c>
      <c r="N67" s="42">
        <f t="shared" si="49"/>
        <v>0</v>
      </c>
      <c r="O67" s="17"/>
      <c r="P67" s="3" t="s">
        <v>13</v>
      </c>
      <c r="Q67" s="1311">
        <f>'Var Vorgaben'!$D$65</f>
        <v>12</v>
      </c>
      <c r="R67" s="686">
        <f>R10/Q67</f>
        <v>91.25</v>
      </c>
      <c r="S67" s="61">
        <f>'Var Vorgaben'!$C$30</f>
        <v>22.62</v>
      </c>
      <c r="T67" s="198">
        <f>R67*S67</f>
        <v>2064.0750000000003</v>
      </c>
      <c r="U67" s="42">
        <f t="shared" si="50"/>
        <v>2.4097280431136819E-2</v>
      </c>
      <c r="V67" s="17"/>
      <c r="W67" s="3" t="s">
        <v>13</v>
      </c>
      <c r="X67" s="1311">
        <f>'Var Vorgaben'!$D$65</f>
        <v>12</v>
      </c>
      <c r="Y67" s="686">
        <f>Y10/X67</f>
        <v>304.16666666666669</v>
      </c>
      <c r="Z67" s="61">
        <f>'Var Vorgaben'!$C$30</f>
        <v>22.62</v>
      </c>
      <c r="AA67" s="198">
        <f>Y67*Z67</f>
        <v>6880.2500000000009</v>
      </c>
      <c r="AB67" s="42">
        <f t="shared" si="51"/>
        <v>0.20460577094722593</v>
      </c>
      <c r="AC67" s="17"/>
      <c r="AD67" s="3" t="s">
        <v>13</v>
      </c>
      <c r="AE67" s="1311">
        <f>'Var Vorgaben'!$D$65</f>
        <v>12</v>
      </c>
      <c r="AF67" s="686">
        <f>AF10/AE67</f>
        <v>833.33333333333337</v>
      </c>
      <c r="AG67" s="61">
        <f>'Var Vorgaben'!$C$30</f>
        <v>22.62</v>
      </c>
      <c r="AH67" s="198">
        <f>AF67*AG67</f>
        <v>18850</v>
      </c>
      <c r="AI67" s="42">
        <f t="shared" si="52"/>
        <v>0.34308750348760669</v>
      </c>
      <c r="AJ67" s="17"/>
      <c r="AK67" s="3" t="s">
        <v>13</v>
      </c>
      <c r="AL67" s="1311">
        <f>'Var Vorgaben'!$D$65</f>
        <v>12</v>
      </c>
      <c r="AM67" s="686">
        <f>AM10/AL67</f>
        <v>833.33333333333337</v>
      </c>
      <c r="AN67" s="61">
        <f>'Var Vorgaben'!$C$30</f>
        <v>22.62</v>
      </c>
      <c r="AO67" s="198">
        <f>AM67*AN67</f>
        <v>18850</v>
      </c>
      <c r="AP67" s="42">
        <f t="shared" si="53"/>
        <v>0.33527318084658575</v>
      </c>
      <c r="AQ67" s="17"/>
      <c r="AR67" s="3" t="s">
        <v>13</v>
      </c>
      <c r="AS67" s="1311">
        <f>'Var Vorgaben'!$D$65</f>
        <v>12</v>
      </c>
      <c r="AT67" s="686">
        <f>AT10/AS67</f>
        <v>833.33333333333337</v>
      </c>
      <c r="AU67" s="61">
        <f>'Var Vorgaben'!$C$30</f>
        <v>22.62</v>
      </c>
      <c r="AV67" s="198">
        <f>AT67*AU67</f>
        <v>18850</v>
      </c>
      <c r="AW67" s="42">
        <f t="shared" si="54"/>
        <v>0.34545487558049021</v>
      </c>
      <c r="AX67" s="17"/>
      <c r="AY67" s="3" t="s">
        <v>13</v>
      </c>
      <c r="AZ67" s="1311">
        <f>'Var Vorgaben'!$D$65</f>
        <v>12</v>
      </c>
      <c r="BA67" s="686">
        <f>BA10/AZ67</f>
        <v>833.33333333333337</v>
      </c>
      <c r="BB67" s="61">
        <f>'Var Vorgaben'!$C$30</f>
        <v>22.62</v>
      </c>
      <c r="BC67" s="198">
        <f>BA67*BB67</f>
        <v>18850</v>
      </c>
      <c r="BD67" s="42">
        <f t="shared" si="55"/>
        <v>0.34670920292759194</v>
      </c>
      <c r="BE67" s="17"/>
      <c r="BF67" s="3" t="s">
        <v>13</v>
      </c>
      <c r="BG67" s="1311">
        <f>'Var Vorgaben'!$D$65</f>
        <v>12</v>
      </c>
      <c r="BH67" s="686">
        <f>BH10/BG67</f>
        <v>833.33333333333337</v>
      </c>
      <c r="BI67" s="61">
        <f>'Var Vorgaben'!$C$30</f>
        <v>22.62</v>
      </c>
      <c r="BJ67" s="198">
        <f>BH67*BI67</f>
        <v>18850</v>
      </c>
      <c r="BK67" s="42">
        <f t="shared" si="92"/>
        <v>0.18791233471105476</v>
      </c>
      <c r="BL67" s="17"/>
      <c r="BM67" s="3" t="s">
        <v>13</v>
      </c>
      <c r="BN67" s="1311">
        <f>'Var Vorgaben'!$D$65</f>
        <v>12</v>
      </c>
      <c r="BO67" s="686">
        <f>BO10/BN67</f>
        <v>833.33333333333337</v>
      </c>
      <c r="BP67" s="61">
        <f>'Var Vorgaben'!$C$30</f>
        <v>22.62</v>
      </c>
      <c r="BQ67" s="198">
        <f>BO67*BP67</f>
        <v>18850</v>
      </c>
      <c r="BR67" s="42">
        <f t="shared" si="57"/>
        <v>0.31969055430765625</v>
      </c>
      <c r="BS67" s="17"/>
      <c r="BT67" s="3" t="s">
        <v>13</v>
      </c>
      <c r="BU67" s="1311">
        <f>'Var Vorgaben'!$D$65</f>
        <v>12</v>
      </c>
      <c r="BV67" s="686">
        <f>BV10/BU67</f>
        <v>833.33333333333337</v>
      </c>
      <c r="BW67" s="61">
        <f>'Var Vorgaben'!$C$30</f>
        <v>22.62</v>
      </c>
      <c r="BX67" s="198">
        <f>BV67*BW67</f>
        <v>18850</v>
      </c>
      <c r="BY67" s="42">
        <f t="shared" si="58"/>
        <v>0.34762160834107908</v>
      </c>
      <c r="BZ67" s="17"/>
      <c r="CA67" s="3" t="s">
        <v>13</v>
      </c>
      <c r="CB67" s="1311">
        <f>'Var Vorgaben'!$D$65</f>
        <v>12</v>
      </c>
      <c r="CC67" s="686">
        <f>CC10/CB67</f>
        <v>833.33333333333337</v>
      </c>
      <c r="CD67" s="61">
        <f>'Var Vorgaben'!$C$30</f>
        <v>22.62</v>
      </c>
      <c r="CE67" s="198">
        <f>CC67*CD67</f>
        <v>18850</v>
      </c>
      <c r="CF67" s="42">
        <f t="shared" si="59"/>
        <v>0.33964125816241891</v>
      </c>
      <c r="CG67" s="17"/>
      <c r="CH67" s="3" t="s">
        <v>13</v>
      </c>
      <c r="CI67" s="1311">
        <f>'Var Vorgaben'!$D$65</f>
        <v>12</v>
      </c>
      <c r="CJ67" s="686">
        <f>CJ10/CI67</f>
        <v>833.33333333333337</v>
      </c>
      <c r="CK67" s="61">
        <f>'Var Vorgaben'!$C$30</f>
        <v>22.62</v>
      </c>
      <c r="CL67" s="198">
        <f>CJ67*CK67</f>
        <v>18850</v>
      </c>
      <c r="CM67" s="42">
        <f t="shared" si="60"/>
        <v>0.3501364384901734</v>
      </c>
      <c r="CN67" s="17"/>
      <c r="CO67" s="3" t="s">
        <v>13</v>
      </c>
      <c r="CP67" s="1311">
        <f>'Var Vorgaben'!$D$65</f>
        <v>12</v>
      </c>
      <c r="CQ67" s="686">
        <f>CQ10/CP67</f>
        <v>833.33333333333337</v>
      </c>
      <c r="CR67" s="61">
        <f>'Var Vorgaben'!$C$30</f>
        <v>22.62</v>
      </c>
      <c r="CS67" s="198">
        <f>CQ67*CR67</f>
        <v>18850</v>
      </c>
      <c r="CT67" s="42">
        <f t="shared" si="61"/>
        <v>0.35146808183822675</v>
      </c>
      <c r="CU67" s="17"/>
      <c r="CV67" s="3" t="s">
        <v>13</v>
      </c>
      <c r="CW67" s="1311">
        <f>'Var Vorgaben'!$D$65</f>
        <v>12</v>
      </c>
      <c r="CX67" s="686">
        <f>CX10/CW67</f>
        <v>833.33333333333337</v>
      </c>
      <c r="CY67" s="61">
        <f>'Var Vorgaben'!$C$30</f>
        <v>22.62</v>
      </c>
      <c r="CZ67" s="198">
        <f>CX67*CY67</f>
        <v>18850</v>
      </c>
      <c r="DA67" s="42">
        <f t="shared" si="62"/>
        <v>0.34334561832703747</v>
      </c>
      <c r="DB67" s="17"/>
      <c r="DC67" s="3" t="s">
        <v>13</v>
      </c>
      <c r="DD67" s="1311">
        <f>'Var Vorgaben'!$D$65</f>
        <v>12</v>
      </c>
      <c r="DE67" s="686">
        <f>DE10/DD67</f>
        <v>833.33333333333337</v>
      </c>
      <c r="DF67" s="61">
        <f>'Var Vorgaben'!$C$30</f>
        <v>22.62</v>
      </c>
      <c r="DG67" s="198">
        <f>DE67*DF67</f>
        <v>18850</v>
      </c>
      <c r="DH67" s="42">
        <f t="shared" si="63"/>
        <v>0.31824024903922005</v>
      </c>
    </row>
    <row r="68" spans="1:113" x14ac:dyDescent="0.2">
      <c r="A68" s="130" t="s">
        <v>107</v>
      </c>
      <c r="B68" s="537">
        <f>('Var Vorgaben'!$F$29*D61)+('Var Vorgaben'!$F$29*D67)</f>
        <v>0</v>
      </c>
      <c r="C68" s="154" t="s">
        <v>105</v>
      </c>
      <c r="D68" s="536">
        <f>SUM(D57:D67)</f>
        <v>156.5</v>
      </c>
      <c r="E68" s="61"/>
      <c r="F68" s="79">
        <f>SUM(F57:F67)</f>
        <v>5378.55</v>
      </c>
      <c r="G68" s="611">
        <f t="shared" si="48"/>
        <v>0.44562985723576221</v>
      </c>
      <c r="H68" s="130" t="s">
        <v>107</v>
      </c>
      <c r="I68" s="537">
        <f>('Var Vorgaben'!$F$29*K61)+('Var Vorgaben'!$F$29*K67)</f>
        <v>0</v>
      </c>
      <c r="J68" s="154" t="s">
        <v>105</v>
      </c>
      <c r="K68" s="536">
        <f>SUM(K57:K67)</f>
        <v>156.5</v>
      </c>
      <c r="L68" s="61"/>
      <c r="M68" s="79">
        <f>SUM(M57:M67)</f>
        <v>5378.55</v>
      </c>
      <c r="N68" s="611">
        <f t="shared" si="49"/>
        <v>0.44081518854394514</v>
      </c>
      <c r="O68" s="130" t="s">
        <v>107</v>
      </c>
      <c r="P68" s="537">
        <f>('Var Vorgaben'!$F$29*R61)+('Var Vorgaben'!$F$29*R67)</f>
        <v>82.125</v>
      </c>
      <c r="Q68" s="154" t="s">
        <v>105</v>
      </c>
      <c r="R68" s="536">
        <f>SUM(R57:R67)</f>
        <v>531.71153846153845</v>
      </c>
      <c r="S68" s="61"/>
      <c r="T68" s="79">
        <f>SUM(T57:T67)</f>
        <v>14684.567307692307</v>
      </c>
      <c r="U68" s="611">
        <f t="shared" si="50"/>
        <v>0.17143666602394064</v>
      </c>
      <c r="V68" s="130" t="s">
        <v>107</v>
      </c>
      <c r="W68" s="537">
        <f>('Var Vorgaben'!$F$29*Y61)+('Var Vorgaben'!$F$29*Y67)</f>
        <v>273.75</v>
      </c>
      <c r="X68" s="154" t="s">
        <v>105</v>
      </c>
      <c r="Y68" s="536">
        <f>SUM(Y57:Y67)</f>
        <v>579.75641025641028</v>
      </c>
      <c r="Z68" s="61"/>
      <c r="AA68" s="79">
        <f>SUM(AA57:AA67)</f>
        <v>15722.234615384616</v>
      </c>
      <c r="AB68" s="611">
        <f t="shared" si="51"/>
        <v>0.46754986148670918</v>
      </c>
      <c r="AC68" s="130" t="s">
        <v>107</v>
      </c>
      <c r="AD68" s="537">
        <f>('Var Vorgaben'!$F$29*AF61)+('Var Vorgaben'!$F$29*AF67)</f>
        <v>750</v>
      </c>
      <c r="AE68" s="154" t="s">
        <v>105</v>
      </c>
      <c r="AF68" s="536">
        <f>SUM(AF57:AF67)</f>
        <v>1104.7179487179487</v>
      </c>
      <c r="AG68" s="61"/>
      <c r="AH68" s="79">
        <f>SUM(AH57:AH67)</f>
        <v>27554.476923076923</v>
      </c>
      <c r="AI68" s="611">
        <f t="shared" si="52"/>
        <v>0.50151706617747116</v>
      </c>
      <c r="AJ68" s="130" t="s">
        <v>107</v>
      </c>
      <c r="AK68" s="537">
        <f>('Var Vorgaben'!$F$29*AM61)+('Var Vorgaben'!$F$29*AM67)</f>
        <v>750</v>
      </c>
      <c r="AL68" s="154" t="s">
        <v>105</v>
      </c>
      <c r="AM68" s="536">
        <f>SUM(AM57:AM67)</f>
        <v>1112.0256410256411</v>
      </c>
      <c r="AN68" s="61"/>
      <c r="AO68" s="79">
        <f>SUM(AO57:AO67)</f>
        <v>27793.438461538462</v>
      </c>
      <c r="AP68" s="611">
        <f t="shared" si="53"/>
        <v>0.49434453685219293</v>
      </c>
      <c r="AQ68" s="130" t="s">
        <v>107</v>
      </c>
      <c r="AR68" s="537">
        <f>('Var Vorgaben'!$F$29*AT61)+('Var Vorgaben'!$F$29*AT67)</f>
        <v>750</v>
      </c>
      <c r="AS68" s="154" t="s">
        <v>105</v>
      </c>
      <c r="AT68" s="536">
        <f>SUM(AT57:AT67)</f>
        <v>1104.7179487179487</v>
      </c>
      <c r="AU68" s="61"/>
      <c r="AV68" s="79">
        <f>SUM(AV57:AV67)</f>
        <v>27554.476923076923</v>
      </c>
      <c r="AW68" s="611">
        <f t="shared" si="54"/>
        <v>0.50497763380090321</v>
      </c>
      <c r="AX68" s="130" t="s">
        <v>107</v>
      </c>
      <c r="AY68" s="537">
        <f>('Var Vorgaben'!$F$29*BA61)+('Var Vorgaben'!$F$29*BA67)</f>
        <v>750</v>
      </c>
      <c r="AZ68" s="154" t="s">
        <v>105</v>
      </c>
      <c r="BA68" s="536">
        <f>SUM(BA57:BA67)</f>
        <v>1104.7179487179487</v>
      </c>
      <c r="BB68" s="61"/>
      <c r="BC68" s="79">
        <f>SUM(BC57:BC67)</f>
        <v>27554.476923076923</v>
      </c>
      <c r="BD68" s="611">
        <f t="shared" si="55"/>
        <v>0.50681117936799613</v>
      </c>
      <c r="BE68" s="130" t="s">
        <v>107</v>
      </c>
      <c r="BF68" s="537">
        <f>('Var Vorgaben'!$F$29*BH61)+('Var Vorgaben'!$F$29*BH67)</f>
        <v>750</v>
      </c>
      <c r="BG68" s="154" t="s">
        <v>105</v>
      </c>
      <c r="BH68" s="536">
        <f>SUM(BH57:BH67)</f>
        <v>1222.0256410256411</v>
      </c>
      <c r="BI68" s="61"/>
      <c r="BJ68" s="79">
        <f>SUM(BJ57:BJ67)</f>
        <v>30281.63846153846</v>
      </c>
      <c r="BK68" s="611">
        <f>BJ68/$BJ$73</f>
        <v>0.30187232796730845</v>
      </c>
      <c r="BL68" s="130" t="s">
        <v>107</v>
      </c>
      <c r="BM68" s="537">
        <f>('Var Vorgaben'!$F$29*BO61)+('Var Vorgaben'!$F$29*BO67)</f>
        <v>750</v>
      </c>
      <c r="BN68" s="154" t="s">
        <v>105</v>
      </c>
      <c r="BO68" s="536">
        <f>SUM(BO57:BO67)</f>
        <v>1144.7179487179487</v>
      </c>
      <c r="BP68" s="61"/>
      <c r="BQ68" s="79">
        <f>SUM(BQ57:BQ67)</f>
        <v>28459.276923076923</v>
      </c>
      <c r="BR68" s="611">
        <f t="shared" si="57"/>
        <v>0.48266111483997615</v>
      </c>
      <c r="BS68" s="130" t="s">
        <v>107</v>
      </c>
      <c r="BT68" s="537">
        <f>('Var Vorgaben'!$F$29*BV61)+('Var Vorgaben'!$F$29*BV67)</f>
        <v>750</v>
      </c>
      <c r="BU68" s="154" t="s">
        <v>105</v>
      </c>
      <c r="BV68" s="536">
        <f>SUM(BV57:BV67)</f>
        <v>1104.7179487179487</v>
      </c>
      <c r="BW68" s="61"/>
      <c r="BX68" s="79">
        <f>SUM(BX57:BX67)</f>
        <v>27554.476923076923</v>
      </c>
      <c r="BY68" s="611">
        <f t="shared" si="58"/>
        <v>0.50814491167093623</v>
      </c>
      <c r="BZ68" s="130" t="s">
        <v>107</v>
      </c>
      <c r="CA68" s="537">
        <f>('Var Vorgaben'!$F$29*CC61)+('Var Vorgaben'!$F$29*CC67)</f>
        <v>750</v>
      </c>
      <c r="CB68" s="154" t="s">
        <v>105</v>
      </c>
      <c r="CC68" s="536">
        <f>SUM(CC57:CC67)</f>
        <v>1112.0256410256411</v>
      </c>
      <c r="CD68" s="61"/>
      <c r="CE68" s="79">
        <f>SUM(CE57:CE67)</f>
        <v>27793.438461538462</v>
      </c>
      <c r="CF68" s="611">
        <f t="shared" si="59"/>
        <v>0.50078506141839196</v>
      </c>
      <c r="CG68" s="130" t="s">
        <v>107</v>
      </c>
      <c r="CH68" s="537">
        <f>('Var Vorgaben'!$F$29*CJ61)+('Var Vorgaben'!$F$29*CJ67)</f>
        <v>750</v>
      </c>
      <c r="CI68" s="154" t="s">
        <v>105</v>
      </c>
      <c r="CJ68" s="536">
        <f>SUM(CJ57:CJ67)</f>
        <v>1104.7179487179487</v>
      </c>
      <c r="CK68" s="61"/>
      <c r="CL68" s="79">
        <f>SUM(CL57:CL67)</f>
        <v>27554.476923076923</v>
      </c>
      <c r="CM68" s="611">
        <f t="shared" si="60"/>
        <v>0.51182102993664857</v>
      </c>
      <c r="CN68" s="130" t="s">
        <v>107</v>
      </c>
      <c r="CO68" s="537">
        <f>('Var Vorgaben'!$F$29*CQ61)+('Var Vorgaben'!$F$29*CQ67)</f>
        <v>750</v>
      </c>
      <c r="CP68" s="154" t="s">
        <v>105</v>
      </c>
      <c r="CQ68" s="536">
        <f>SUM(CQ57:CQ67)</f>
        <v>1104.7179487179487</v>
      </c>
      <c r="CR68" s="61"/>
      <c r="CS68" s="79">
        <f>SUM(CS57:CS67)</f>
        <v>27554.476923076923</v>
      </c>
      <c r="CT68" s="611">
        <f t="shared" si="61"/>
        <v>0.51376759417557194</v>
      </c>
      <c r="CU68" s="130" t="s">
        <v>107</v>
      </c>
      <c r="CV68" s="537">
        <f>('Var Vorgaben'!$F$29*CX61)+('Var Vorgaben'!$F$29*CX67)</f>
        <v>750</v>
      </c>
      <c r="CW68" s="154" t="s">
        <v>105</v>
      </c>
      <c r="CX68" s="536">
        <f>SUM(CX57:CX67)</f>
        <v>1112.0256410256411</v>
      </c>
      <c r="CY68" s="61"/>
      <c r="CZ68" s="79">
        <f>SUM(CZ57:CZ67)</f>
        <v>27793.438461538462</v>
      </c>
      <c r="DA68" s="611">
        <f t="shared" si="62"/>
        <v>0.5062469662605511</v>
      </c>
      <c r="DB68" s="130" t="s">
        <v>107</v>
      </c>
      <c r="DC68" s="537">
        <f>('Var Vorgaben'!$F$29*DE61)+('Var Vorgaben'!$F$29*DE67)</f>
        <v>750</v>
      </c>
      <c r="DD68" s="154" t="s">
        <v>105</v>
      </c>
      <c r="DE68" s="536">
        <f>SUM(DE57:DE67)</f>
        <v>1104.7179487179487</v>
      </c>
      <c r="DF68" s="61"/>
      <c r="DG68" s="79">
        <f>SUM(DG57:DG67)</f>
        <v>27554.476923076923</v>
      </c>
      <c r="DH68" s="611">
        <f t="shared" si="63"/>
        <v>0.46519594685121707</v>
      </c>
    </row>
    <row r="69" spans="1:113" ht="18" customHeight="1" x14ac:dyDescent="0.2">
      <c r="A69" s="17" t="s">
        <v>73</v>
      </c>
      <c r="B69" s="4" t="s">
        <v>71</v>
      </c>
      <c r="C69" s="45"/>
      <c r="D69" s="45"/>
      <c r="E69" s="61"/>
      <c r="F69" s="43">
        <f>'Var Vorgaben'!$C$37</f>
        <v>660</v>
      </c>
      <c r="G69" s="42">
        <f t="shared" si="48"/>
        <v>5.4683084804566857E-2</v>
      </c>
      <c r="H69" s="17" t="s">
        <v>73</v>
      </c>
      <c r="I69" s="4" t="s">
        <v>71</v>
      </c>
      <c r="J69" s="45"/>
      <c r="K69" s="45"/>
      <c r="L69" s="61"/>
      <c r="M69" s="43">
        <f>'Var Vorgaben'!$C$37</f>
        <v>660</v>
      </c>
      <c r="N69" s="42">
        <f t="shared" si="49"/>
        <v>5.4092278483792798E-2</v>
      </c>
      <c r="O69" s="17" t="s">
        <v>73</v>
      </c>
      <c r="P69" s="4" t="s">
        <v>71</v>
      </c>
      <c r="Q69" s="45"/>
      <c r="R69" s="45"/>
      <c r="S69" s="61"/>
      <c r="T69" s="43">
        <f>'Var Vorgaben'!$C$37</f>
        <v>660</v>
      </c>
      <c r="U69" s="42">
        <f t="shared" si="50"/>
        <v>7.7052457321319717E-3</v>
      </c>
      <c r="V69" s="17" t="s">
        <v>73</v>
      </c>
      <c r="W69" s="4" t="s">
        <v>71</v>
      </c>
      <c r="X69" s="45"/>
      <c r="Y69" s="45"/>
      <c r="Z69" s="61"/>
      <c r="AA69" s="43">
        <f>'Var Vorgaben'!$C$37</f>
        <v>660</v>
      </c>
      <c r="AB69" s="42">
        <f t="shared" si="51"/>
        <v>1.96271659932661E-2</v>
      </c>
      <c r="AC69" s="17" t="s">
        <v>73</v>
      </c>
      <c r="AD69" s="4" t="s">
        <v>71</v>
      </c>
      <c r="AE69" s="45"/>
      <c r="AF69" s="45"/>
      <c r="AG69" s="61"/>
      <c r="AH69" s="43">
        <f>'Var Vorgaben'!$C$37</f>
        <v>660</v>
      </c>
      <c r="AI69" s="42">
        <f t="shared" si="52"/>
        <v>1.2012612854207979E-2</v>
      </c>
      <c r="AJ69" s="17" t="s">
        <v>73</v>
      </c>
      <c r="AK69" s="4" t="s">
        <v>71</v>
      </c>
      <c r="AL69" s="45"/>
      <c r="AM69" s="45"/>
      <c r="AN69" s="61"/>
      <c r="AO69" s="43">
        <f>'Var Vorgaben'!$C$37</f>
        <v>660</v>
      </c>
      <c r="AP69" s="42">
        <f t="shared" si="53"/>
        <v>1.1739007923540934E-2</v>
      </c>
      <c r="AQ69" s="17" t="s">
        <v>73</v>
      </c>
      <c r="AR69" s="4" t="s">
        <v>71</v>
      </c>
      <c r="AS69" s="45"/>
      <c r="AT69" s="45"/>
      <c r="AU69" s="61"/>
      <c r="AV69" s="43">
        <f>'Var Vorgaben'!$C$37</f>
        <v>660</v>
      </c>
      <c r="AW69" s="42">
        <f t="shared" si="54"/>
        <v>1.2095502274966766E-2</v>
      </c>
      <c r="AX69" s="17" t="s">
        <v>73</v>
      </c>
      <c r="AY69" s="4" t="s">
        <v>71</v>
      </c>
      <c r="AZ69" s="45"/>
      <c r="BA69" s="45"/>
      <c r="BB69" s="61"/>
      <c r="BC69" s="43">
        <f>'Var Vorgaben'!$C$37</f>
        <v>660</v>
      </c>
      <c r="BD69" s="42">
        <f t="shared" si="55"/>
        <v>1.2139420367756535E-2</v>
      </c>
      <c r="BE69" s="17" t="s">
        <v>73</v>
      </c>
      <c r="BF69" s="4" t="s">
        <v>71</v>
      </c>
      <c r="BG69" s="45"/>
      <c r="BH69" s="45"/>
      <c r="BI69" s="61"/>
      <c r="BJ69" s="43">
        <f>'Var Vorgaben'!$C$37</f>
        <v>660</v>
      </c>
      <c r="BK69" s="42">
        <f t="shared" si="92"/>
        <v>6.5794239209175671E-3</v>
      </c>
      <c r="BL69" s="17" t="s">
        <v>73</v>
      </c>
      <c r="BM69" s="4" t="s">
        <v>71</v>
      </c>
      <c r="BN69" s="45"/>
      <c r="BO69" s="45"/>
      <c r="BP69" s="61"/>
      <c r="BQ69" s="43">
        <f>'Var Vorgaben'!$C$37</f>
        <v>660</v>
      </c>
      <c r="BR69" s="42">
        <f t="shared" si="57"/>
        <v>1.1193409328543931E-2</v>
      </c>
      <c r="BS69" s="17" t="s">
        <v>73</v>
      </c>
      <c r="BT69" s="4" t="s">
        <v>71</v>
      </c>
      <c r="BU69" s="45"/>
      <c r="BV69" s="45"/>
      <c r="BW69" s="61"/>
      <c r="BX69" s="43">
        <f>'Var Vorgaben'!$C$37</f>
        <v>660</v>
      </c>
      <c r="BY69" s="42">
        <f t="shared" si="58"/>
        <v>1.2171366658096138E-2</v>
      </c>
      <c r="BZ69" s="17" t="s">
        <v>73</v>
      </c>
      <c r="CA69" s="4" t="s">
        <v>71</v>
      </c>
      <c r="CB69" s="45"/>
      <c r="CC69" s="45"/>
      <c r="CD69" s="61"/>
      <c r="CE69" s="43">
        <f>'Var Vorgaben'!$C$37</f>
        <v>660</v>
      </c>
      <c r="CF69" s="42">
        <f t="shared" si="59"/>
        <v>1.1891948561654986E-2</v>
      </c>
      <c r="CG69" s="17" t="s">
        <v>73</v>
      </c>
      <c r="CH69" s="4" t="s">
        <v>71</v>
      </c>
      <c r="CI69" s="45"/>
      <c r="CJ69" s="45"/>
      <c r="CK69" s="61"/>
      <c r="CL69" s="43">
        <f>'Var Vorgaben'!$C$37</f>
        <v>660</v>
      </c>
      <c r="CM69" s="42">
        <f t="shared" si="60"/>
        <v>1.2259419066499438E-2</v>
      </c>
      <c r="CN69" s="17" t="s">
        <v>73</v>
      </c>
      <c r="CO69" s="4" t="s">
        <v>71</v>
      </c>
      <c r="CP69" s="45"/>
      <c r="CQ69" s="45"/>
      <c r="CR69" s="61"/>
      <c r="CS69" s="43">
        <f>'Var Vorgaben'!$C$37</f>
        <v>660</v>
      </c>
      <c r="CT69" s="42">
        <f t="shared" si="61"/>
        <v>1.2306044244733669E-2</v>
      </c>
      <c r="CU69" s="17" t="s">
        <v>73</v>
      </c>
      <c r="CV69" s="4" t="s">
        <v>71</v>
      </c>
      <c r="CW69" s="45"/>
      <c r="CX69" s="45"/>
      <c r="CY69" s="61"/>
      <c r="CZ69" s="43">
        <f>'Var Vorgaben'!$C$37</f>
        <v>660</v>
      </c>
      <c r="DA69" s="42">
        <f t="shared" si="62"/>
        <v>1.202165029686179E-2</v>
      </c>
      <c r="DB69" s="17" t="s">
        <v>73</v>
      </c>
      <c r="DC69" s="4" t="s">
        <v>71</v>
      </c>
      <c r="DD69" s="45"/>
      <c r="DE69" s="45"/>
      <c r="DF69" s="61"/>
      <c r="DG69" s="43">
        <f>'Var Vorgaben'!$C$37</f>
        <v>660</v>
      </c>
      <c r="DH69" s="42">
        <f t="shared" si="63"/>
        <v>1.1142629409330782E-2</v>
      </c>
    </row>
    <row r="70" spans="1:113" ht="13.5" thickBot="1" x14ac:dyDescent="0.25">
      <c r="A70"/>
      <c r="B70" s="1" t="s">
        <v>232</v>
      </c>
      <c r="C70" s="229">
        <f>'Var Vorgaben'!$C$36</f>
        <v>0.6</v>
      </c>
      <c r="D70" s="706">
        <f>Eingabeseite!$D$34</f>
        <v>1.4999999999999999E-2</v>
      </c>
      <c r="E70" s="116">
        <f>(F76)*(-1)</f>
        <v>90890.014449999988</v>
      </c>
      <c r="F70" s="198">
        <f>D70*E70*C70</f>
        <v>818.01013004999993</v>
      </c>
      <c r="G70" s="42">
        <f t="shared" si="48"/>
        <v>6.777472320078623E-2</v>
      </c>
      <c r="H70"/>
      <c r="I70" s="1" t="s">
        <v>232</v>
      </c>
      <c r="J70" s="229">
        <f>'Var Vorgaben'!$C$36</f>
        <v>0.6</v>
      </c>
      <c r="K70" s="706">
        <f>Eingabeseite!$D$34</f>
        <v>1.4999999999999999E-2</v>
      </c>
      <c r="L70" s="116">
        <f>(M76)*(-1)</f>
        <v>100259.56031338332</v>
      </c>
      <c r="M70" s="198">
        <f>K70*L70*J70</f>
        <v>902.33604282044973</v>
      </c>
      <c r="N70" s="42">
        <f t="shared" si="49"/>
        <v>7.3953655324556597E-2</v>
      </c>
      <c r="P70" s="1" t="s">
        <v>232</v>
      </c>
      <c r="Q70" s="229">
        <f>'Var Vorgaben'!$C$36</f>
        <v>0.6</v>
      </c>
      <c r="R70" s="706">
        <f>Eingabeseite!$D$34</f>
        <v>1.4999999999999999E-2</v>
      </c>
      <c r="S70" s="116">
        <f>(T76)*(-1)</f>
        <v>109760.93208953711</v>
      </c>
      <c r="T70" s="198">
        <f>R70*S70*Q70</f>
        <v>987.84838880583391</v>
      </c>
      <c r="U70" s="42">
        <f t="shared" si="50"/>
        <v>1.1532749366423629E-2</v>
      </c>
      <c r="W70" s="1" t="s">
        <v>232</v>
      </c>
      <c r="X70" s="229">
        <f>'Var Vorgaben'!$C$36</f>
        <v>0.6</v>
      </c>
      <c r="Y70" s="706">
        <f>Eingabeseite!$D$34</f>
        <v>1.4999999999999999E-2</v>
      </c>
      <c r="Z70" s="116">
        <f>(AA76)*(-1)</f>
        <v>184635.76350879166</v>
      </c>
      <c r="AA70" s="198">
        <f>Y70*Z70*X70</f>
        <v>1661.7218715791248</v>
      </c>
      <c r="AB70" s="42">
        <f t="shared" si="51"/>
        <v>4.9416501527461056E-2</v>
      </c>
      <c r="AD70" s="1" t="s">
        <v>232</v>
      </c>
      <c r="AE70" s="229">
        <f>'Var Vorgaben'!$C$36</f>
        <v>0.6</v>
      </c>
      <c r="AF70" s="706">
        <f>Eingabeseite!$D$34</f>
        <v>1.4999999999999999E-2</v>
      </c>
      <c r="AG70" s="116">
        <f>(AH76)*(-1)</f>
        <v>188625.62539126823</v>
      </c>
      <c r="AH70" s="198">
        <f>AF70*AG70*AE70</f>
        <v>1697.6306285214141</v>
      </c>
      <c r="AI70" s="42">
        <f t="shared" si="52"/>
        <v>3.0898453802838653E-2</v>
      </c>
      <c r="AK70" s="1" t="s">
        <v>232</v>
      </c>
      <c r="AL70" s="229">
        <f>'Var Vorgaben'!$C$36</f>
        <v>0.6</v>
      </c>
      <c r="AM70" s="706">
        <f>Eingabeseite!$D$34</f>
        <v>1.4999999999999999E-2</v>
      </c>
      <c r="AN70" s="116">
        <f>(AO76)*(-1)</f>
        <v>167067.87717363582</v>
      </c>
      <c r="AO70" s="198">
        <f>AM70*AN70*AL70</f>
        <v>1503.6108945627223</v>
      </c>
      <c r="AP70" s="42">
        <f t="shared" si="53"/>
        <v>2.6743788189688283E-2</v>
      </c>
      <c r="AR70" s="1" t="s">
        <v>232</v>
      </c>
      <c r="AS70" s="229">
        <f>'Var Vorgaben'!$C$36</f>
        <v>0.6</v>
      </c>
      <c r="AT70" s="706">
        <f>Eingabeseite!$D$34</f>
        <v>1.4999999999999999E-2</v>
      </c>
      <c r="AU70" s="116">
        <f>(AV76)*(-1)</f>
        <v>146790.68614512158</v>
      </c>
      <c r="AV70" s="198">
        <f>AT70*AU70*AS70</f>
        <v>1321.1161753060942</v>
      </c>
      <c r="AW70" s="42">
        <f t="shared" si="54"/>
        <v>2.4211460157439777E-2</v>
      </c>
      <c r="AY70" s="1" t="s">
        <v>232</v>
      </c>
      <c r="AZ70" s="229">
        <f>'Var Vorgaben'!$C$36</f>
        <v>0.6</v>
      </c>
      <c r="BA70" s="706">
        <f>Eingabeseite!$D$34</f>
        <v>1.4999999999999999E-2</v>
      </c>
      <c r="BB70" s="116">
        <f>(BC76)*(-1)</f>
        <v>124856.4234742738</v>
      </c>
      <c r="BC70" s="198">
        <f>BA70*BB70*AZ70</f>
        <v>1123.7078112684642</v>
      </c>
      <c r="BD70" s="42">
        <f t="shared" si="55"/>
        <v>2.066842650230229E-2</v>
      </c>
      <c r="BF70" s="1" t="s">
        <v>232</v>
      </c>
      <c r="BG70" s="229">
        <f>'Var Vorgaben'!$C$36</f>
        <v>0.6</v>
      </c>
      <c r="BH70" s="706">
        <f>Eingabeseite!$D$34</f>
        <v>1.4999999999999999E-2</v>
      </c>
      <c r="BI70" s="116">
        <f>(BJ76)*(-1)</f>
        <v>102724.75243938841</v>
      </c>
      <c r="BJ70" s="198">
        <f>BH70*BI70*BG70</f>
        <v>924.52277195449551</v>
      </c>
      <c r="BK70" s="42">
        <f t="shared" si="92"/>
        <v>9.216404910955189E-3</v>
      </c>
      <c r="BM70" s="1" t="s">
        <v>232</v>
      </c>
      <c r="BN70" s="229">
        <f>'Var Vorgaben'!$C$36</f>
        <v>0.6</v>
      </c>
      <c r="BO70" s="706">
        <f>Eingabeseite!$D$34</f>
        <v>1.4999999999999999E-2</v>
      </c>
      <c r="BP70" s="116">
        <f>(BQ76)*(-1)</f>
        <v>126537.48618826595</v>
      </c>
      <c r="BQ70" s="198">
        <f>BO70*BP70*BN70</f>
        <v>1138.8373756943934</v>
      </c>
      <c r="BR70" s="42">
        <f t="shared" si="57"/>
        <v>1.9314352886048658E-2</v>
      </c>
      <c r="BT70" s="1" t="s">
        <v>232</v>
      </c>
      <c r="BU70" s="229">
        <f>'Var Vorgaben'!$C$36</f>
        <v>0.6</v>
      </c>
      <c r="BV70" s="706">
        <f>Eingabeseite!$D$34</f>
        <v>1.4999999999999999E-2</v>
      </c>
      <c r="BW70" s="116">
        <f>(BX76)*(-1)</f>
        <v>109000.75471780649</v>
      </c>
      <c r="BX70" s="198">
        <f>BV70*BW70*BU70</f>
        <v>981.00679246025834</v>
      </c>
      <c r="BY70" s="42">
        <f t="shared" si="58"/>
        <v>1.8091202068358524E-2</v>
      </c>
      <c r="CA70" s="1" t="s">
        <v>232</v>
      </c>
      <c r="CB70" s="229">
        <f>'Var Vorgaben'!$C$36</f>
        <v>0.6</v>
      </c>
      <c r="CC70" s="706">
        <f>Eingabeseite!$D$34</f>
        <v>1.4999999999999999E-2</v>
      </c>
      <c r="CD70" s="116">
        <f>(CE76)*(-1)</f>
        <v>86726.382664112884</v>
      </c>
      <c r="CE70" s="198">
        <f>CC70*CD70*CB70</f>
        <v>780.53744397701587</v>
      </c>
      <c r="CF70" s="42">
        <f t="shared" si="59"/>
        <v>1.4063804748818685E-2</v>
      </c>
      <c r="CH70" s="1" t="s">
        <v>232</v>
      </c>
      <c r="CI70" s="229">
        <f>'Var Vorgaben'!$C$36</f>
        <v>0.6</v>
      </c>
      <c r="CJ70" s="706">
        <f>Eingabeseite!$D$34</f>
        <v>1.4999999999999999E-2</v>
      </c>
      <c r="CK70" s="116">
        <f>(CL76)*(-1)</f>
        <v>65726.118185012965</v>
      </c>
      <c r="CL70" s="198">
        <f>CJ70*CK70*CI70</f>
        <v>591.5350636651167</v>
      </c>
      <c r="CM70" s="42">
        <f t="shared" si="60"/>
        <v>1.0987691269695593E-2</v>
      </c>
      <c r="CO70" s="1" t="s">
        <v>232</v>
      </c>
      <c r="CP70" s="229">
        <f>'Var Vorgaben'!$C$36</f>
        <v>0.6</v>
      </c>
      <c r="CQ70" s="706">
        <f>Eingabeseite!$D$34</f>
        <v>1.4999999999999999E-2</v>
      </c>
      <c r="CR70" s="116">
        <f>(CS76)*(-1)</f>
        <v>43062.274402524214</v>
      </c>
      <c r="CS70" s="198">
        <f>CQ70*CR70*CP70</f>
        <v>387.5604696227179</v>
      </c>
      <c r="CT70" s="42">
        <f t="shared" si="61"/>
        <v>7.2262671010407961E-3</v>
      </c>
      <c r="CV70" s="1" t="s">
        <v>232</v>
      </c>
      <c r="CW70" s="229">
        <f>'Var Vorgaben'!$C$36</f>
        <v>0.6</v>
      </c>
      <c r="CX70" s="706">
        <f>Eingabeseite!$D$34</f>
        <v>1.4999999999999999E-2</v>
      </c>
      <c r="CY70" s="116">
        <f>(CZ76)*(-1)</f>
        <v>20194.456025993073</v>
      </c>
      <c r="CZ70" s="198">
        <f>CX70*CY70*CW70</f>
        <v>181.75010423393766</v>
      </c>
      <c r="DA70" s="42">
        <f t="shared" si="62"/>
        <v>3.3105093856342091E-3</v>
      </c>
      <c r="DC70" s="1" t="s">
        <v>232</v>
      </c>
      <c r="DD70" s="229">
        <f>'Var Vorgaben'!$C$36</f>
        <v>0.6</v>
      </c>
      <c r="DE70" s="706">
        <f>Eingabeseite!$D$34</f>
        <v>1.4999999999999999E-2</v>
      </c>
      <c r="DF70" s="116">
        <f>(DG76)*(-1)</f>
        <v>-1404.5957928499265</v>
      </c>
      <c r="DG70" s="198">
        <f>DE70*DF70*DD70</f>
        <v>-12.641362135649338</v>
      </c>
      <c r="DH70" s="42">
        <f t="shared" si="63"/>
        <v>-2.1342123258588923E-4</v>
      </c>
    </row>
    <row r="71" spans="1:113" x14ac:dyDescent="0.2">
      <c r="A71"/>
      <c r="B71"/>
      <c r="C71" s="45"/>
      <c r="D71" s="1"/>
      <c r="E71" s="1"/>
      <c r="F71" s="79">
        <f>SUM(F69:F70)</f>
        <v>1478.01013005</v>
      </c>
      <c r="G71" s="611">
        <f t="shared" si="48"/>
        <v>0.12245780800535309</v>
      </c>
      <c r="H71"/>
      <c r="I71"/>
      <c r="J71" s="45"/>
      <c r="K71" s="1"/>
      <c r="L71" s="1"/>
      <c r="M71" s="79">
        <f>SUM(M69:M70)</f>
        <v>1562.3360428204496</v>
      </c>
      <c r="N71" s="611">
        <f t="shared" si="49"/>
        <v>0.12804593380834939</v>
      </c>
      <c r="Q71" s="45"/>
      <c r="R71" s="1"/>
      <c r="S71" s="1"/>
      <c r="T71" s="79">
        <f>SUM(T69:T70)</f>
        <v>1647.848388805834</v>
      </c>
      <c r="U71" s="611">
        <f t="shared" si="50"/>
        <v>1.9237995098555602E-2</v>
      </c>
      <c r="X71" s="45"/>
      <c r="Y71" s="1"/>
      <c r="Z71" s="1"/>
      <c r="AA71" s="79">
        <f>SUM(AA69:AA70)</f>
        <v>2321.721871579125</v>
      </c>
      <c r="AB71" s="611">
        <f t="shared" si="51"/>
        <v>6.9043667520727159E-2</v>
      </c>
      <c r="AE71" s="45"/>
      <c r="AF71" s="1"/>
      <c r="AG71" s="1"/>
      <c r="AH71" s="79">
        <f>SUM(AH69:AH70)</f>
        <v>2357.6306285214141</v>
      </c>
      <c r="AI71" s="611">
        <f t="shared" si="52"/>
        <v>4.291106665704663E-2</v>
      </c>
      <c r="AL71" s="45"/>
      <c r="AM71" s="1"/>
      <c r="AN71" s="1"/>
      <c r="AO71" s="79">
        <f>SUM(AO69:AO70)</f>
        <v>2163.610894562722</v>
      </c>
      <c r="AP71" s="611">
        <f t="shared" si="53"/>
        <v>3.848279611322921E-2</v>
      </c>
      <c r="AS71" s="45"/>
      <c r="AT71" s="1"/>
      <c r="AU71" s="1"/>
      <c r="AV71" s="79">
        <f>SUM(AV69:AV70)</f>
        <v>1981.1161753060942</v>
      </c>
      <c r="AW71" s="611">
        <f t="shared" si="54"/>
        <v>3.6306962432406546E-2</v>
      </c>
      <c r="AZ71" s="45"/>
      <c r="BA71" s="1"/>
      <c r="BB71" s="1"/>
      <c r="BC71" s="79">
        <f>SUM(BC69:BC70)</f>
        <v>1783.7078112684642</v>
      </c>
      <c r="BD71" s="611">
        <f t="shared" si="55"/>
        <v>3.2807846870058825E-2</v>
      </c>
      <c r="BG71" s="45"/>
      <c r="BH71" s="1"/>
      <c r="BI71" s="1"/>
      <c r="BJ71" s="79">
        <f>SUM(BJ69:BJ70)</f>
        <v>1584.5227719544955</v>
      </c>
      <c r="BK71" s="611">
        <f t="shared" si="92"/>
        <v>1.5795828831872756E-2</v>
      </c>
      <c r="BN71" s="45"/>
      <c r="BO71" s="1"/>
      <c r="BP71" s="1"/>
      <c r="BQ71" s="79">
        <f>SUM(BQ69:BQ70)</f>
        <v>1798.8373756943934</v>
      </c>
      <c r="BR71" s="611">
        <f t="shared" si="57"/>
        <v>3.0507762214592588E-2</v>
      </c>
      <c r="BU71" s="45"/>
      <c r="BV71" s="1"/>
      <c r="BW71" s="1"/>
      <c r="BX71" s="79">
        <f>SUM(BX69:BX70)</f>
        <v>1641.0067924602583</v>
      </c>
      <c r="BY71" s="611">
        <f t="shared" si="58"/>
        <v>3.026256872645466E-2</v>
      </c>
      <c r="CB71" s="45"/>
      <c r="CC71" s="1"/>
      <c r="CD71" s="1"/>
      <c r="CE71" s="79">
        <f>SUM(CE69:CE70)</f>
        <v>1440.5374439770158</v>
      </c>
      <c r="CF71" s="611">
        <f t="shared" si="59"/>
        <v>2.5955753310473669E-2</v>
      </c>
      <c r="CI71" s="45"/>
      <c r="CJ71" s="1"/>
      <c r="CK71" s="1"/>
      <c r="CL71" s="79">
        <f>SUM(CL69:CL70)</f>
        <v>1251.5350636651167</v>
      </c>
      <c r="CM71" s="611">
        <f t="shared" si="60"/>
        <v>2.3247110336195032E-2</v>
      </c>
      <c r="CP71" s="45"/>
      <c r="CQ71" s="1"/>
      <c r="CR71" s="1"/>
      <c r="CS71" s="79">
        <f>SUM(CS69:CS70)</f>
        <v>1047.5604696227178</v>
      </c>
      <c r="CT71" s="611">
        <f t="shared" si="61"/>
        <v>1.9532311345774465E-2</v>
      </c>
      <c r="CW71" s="45"/>
      <c r="CX71" s="1"/>
      <c r="CY71" s="1"/>
      <c r="CZ71" s="79">
        <f>SUM(CZ69:CZ70)</f>
        <v>841.75010423393769</v>
      </c>
      <c r="DA71" s="611">
        <f t="shared" si="62"/>
        <v>1.5332159682496E-2</v>
      </c>
      <c r="DD71" s="45"/>
      <c r="DE71" s="1"/>
      <c r="DF71" s="1"/>
      <c r="DG71" s="79">
        <f>SUM(DG69:DG70)</f>
        <v>647.35863786435061</v>
      </c>
      <c r="DH71" s="611">
        <f t="shared" si="63"/>
        <v>1.0929208176744892E-2</v>
      </c>
    </row>
    <row r="72" spans="1:113" ht="13.5" thickBot="1" x14ac:dyDescent="0.25">
      <c r="A72" s="549" t="s">
        <v>38</v>
      </c>
      <c r="B72" s="550"/>
      <c r="C72" s="551"/>
      <c r="D72" s="552"/>
      <c r="E72" s="553"/>
      <c r="F72" s="554">
        <f>F71+F68+F55+F36</f>
        <v>9517.8601300500013</v>
      </c>
      <c r="G72" s="612">
        <f t="shared" si="48"/>
        <v>0.78858477674171201</v>
      </c>
      <c r="H72" s="549" t="s">
        <v>38</v>
      </c>
      <c r="I72" s="550"/>
      <c r="J72" s="551"/>
      <c r="K72" s="552"/>
      <c r="L72" s="553"/>
      <c r="M72" s="554">
        <f>M71+M68+M55+M36</f>
        <v>9497.1860428204491</v>
      </c>
      <c r="N72" s="612">
        <f t="shared" si="49"/>
        <v>0.77837035187974823</v>
      </c>
      <c r="O72" s="549" t="s">
        <v>38</v>
      </c>
      <c r="P72" s="550"/>
      <c r="Q72" s="551"/>
      <c r="R72" s="552"/>
      <c r="S72" s="553"/>
      <c r="T72" s="554">
        <f>T71+T68+T55+T36</f>
        <v>25606.888773421219</v>
      </c>
      <c r="U72" s="612">
        <f t="shared" si="50"/>
        <v>0.29895056126451808</v>
      </c>
      <c r="V72" s="549" t="s">
        <v>38</v>
      </c>
      <c r="W72" s="550"/>
      <c r="X72" s="551"/>
      <c r="Y72" s="552"/>
      <c r="Z72" s="553"/>
      <c r="AA72" s="554">
        <f>AA71+AA68+AA55+AA36</f>
        <v>25506.602640809895</v>
      </c>
      <c r="AB72" s="612">
        <f t="shared" si="51"/>
        <v>0.75851867265978079</v>
      </c>
      <c r="AC72" s="549" t="s">
        <v>38</v>
      </c>
      <c r="AD72" s="550"/>
      <c r="AE72" s="551"/>
      <c r="AF72" s="552"/>
      <c r="AG72" s="553"/>
      <c r="AH72" s="554">
        <f>AH71+AH68+AH55+AH36</f>
        <v>40676.176782367576</v>
      </c>
      <c r="AI72" s="612">
        <f t="shared" si="52"/>
        <v>0.74034418799379531</v>
      </c>
      <c r="AJ72" s="549" t="s">
        <v>38</v>
      </c>
      <c r="AK72" s="550"/>
      <c r="AL72" s="551"/>
      <c r="AM72" s="552"/>
      <c r="AN72" s="553"/>
      <c r="AO72" s="554">
        <f>AO71+AO68+AO55+AO36</f>
        <v>41856.733971485795</v>
      </c>
      <c r="AP72" s="612">
        <f t="shared" si="53"/>
        <v>0.74447959355275262</v>
      </c>
      <c r="AQ72" s="549" t="s">
        <v>38</v>
      </c>
      <c r="AR72" s="550"/>
      <c r="AS72" s="551"/>
      <c r="AT72" s="552"/>
      <c r="AU72" s="553"/>
      <c r="AV72" s="554">
        <f>AV71+AV68+AV55+AV36</f>
        <v>40299.662329152256</v>
      </c>
      <c r="AW72" s="612">
        <f t="shared" si="54"/>
        <v>0.73855251118583876</v>
      </c>
      <c r="AX72" s="549" t="s">
        <v>38</v>
      </c>
      <c r="AY72" s="550"/>
      <c r="AZ72" s="551"/>
      <c r="BA72" s="552"/>
      <c r="BB72" s="553"/>
      <c r="BC72" s="554">
        <f>BC71+BC68+BC55+BC36</f>
        <v>40102.253965114622</v>
      </c>
      <c r="BD72" s="612">
        <f t="shared" si="55"/>
        <v>0.73760320996523898</v>
      </c>
      <c r="BE72" s="549" t="s">
        <v>38</v>
      </c>
      <c r="BF72" s="550"/>
      <c r="BG72" s="551"/>
      <c r="BH72" s="552"/>
      <c r="BI72" s="553"/>
      <c r="BJ72" s="554">
        <f>BJ71+BJ68+BJ55+BJ36</f>
        <v>44175.845848877572</v>
      </c>
      <c r="BK72" s="612">
        <f t="shared" si="92"/>
        <v>0.44038123773465471</v>
      </c>
      <c r="BL72" s="549" t="s">
        <v>38</v>
      </c>
      <c r="BM72" s="550"/>
      <c r="BN72" s="551"/>
      <c r="BO72" s="552"/>
      <c r="BP72" s="553"/>
      <c r="BQ72" s="554">
        <f>BQ71+BQ68+BQ55+BQ36</f>
        <v>41227.183529540547</v>
      </c>
      <c r="BR72" s="612">
        <f t="shared" si="57"/>
        <v>0.69920112228659381</v>
      </c>
      <c r="BS72" s="549" t="s">
        <v>38</v>
      </c>
      <c r="BT72" s="550"/>
      <c r="BU72" s="551"/>
      <c r="BV72" s="552"/>
      <c r="BW72" s="553"/>
      <c r="BX72" s="554">
        <f>BX71+BX68+BX55+BX36</f>
        <v>39959.552946306416</v>
      </c>
      <c r="BY72" s="612">
        <f t="shared" si="58"/>
        <v>0.73691268242894115</v>
      </c>
      <c r="BZ72" s="549" t="s">
        <v>38</v>
      </c>
      <c r="CA72" s="550"/>
      <c r="CB72" s="551"/>
      <c r="CC72" s="552"/>
      <c r="CD72" s="553"/>
      <c r="CE72" s="554">
        <f>CE71+CE68+CE55+CE36</f>
        <v>41133.660520900099</v>
      </c>
      <c r="CF72" s="612">
        <f t="shared" si="59"/>
        <v>0.74115056828351877</v>
      </c>
      <c r="CG72" s="549" t="s">
        <v>38</v>
      </c>
      <c r="CH72" s="550"/>
      <c r="CI72" s="551"/>
      <c r="CJ72" s="552"/>
      <c r="CK72" s="553"/>
      <c r="CL72" s="554">
        <f>CL71+CL68+CL55+CL36</f>
        <v>39570.081217511273</v>
      </c>
      <c r="CM72" s="612">
        <f t="shared" si="60"/>
        <v>0.7350094062740743</v>
      </c>
      <c r="CN72" s="549" t="s">
        <v>38</v>
      </c>
      <c r="CO72" s="550"/>
      <c r="CP72" s="551"/>
      <c r="CQ72" s="552"/>
      <c r="CR72" s="553"/>
      <c r="CS72" s="554">
        <f>CS71+CS68+CS55+CS36</f>
        <v>39366.106623468877</v>
      </c>
      <c r="CT72" s="612">
        <f t="shared" si="61"/>
        <v>0.73400159068380477</v>
      </c>
      <c r="CU72" s="549" t="s">
        <v>38</v>
      </c>
      <c r="CV72" s="550"/>
      <c r="CW72" s="551"/>
      <c r="CX72" s="552"/>
      <c r="CY72" s="553"/>
      <c r="CZ72" s="554">
        <f>CZ71+CZ68+CZ55+CZ36</f>
        <v>40534.873181157018</v>
      </c>
      <c r="DA72" s="612">
        <f t="shared" si="62"/>
        <v>0.73832737910835045</v>
      </c>
      <c r="DB72" s="549" t="s">
        <v>38</v>
      </c>
      <c r="DC72" s="550"/>
      <c r="DD72" s="551"/>
      <c r="DE72" s="552"/>
      <c r="DF72" s="553"/>
      <c r="DG72" s="554">
        <f>DG71+DG68+DG55+DG36</f>
        <v>38965.904791710505</v>
      </c>
      <c r="DH72" s="612">
        <f t="shared" si="63"/>
        <v>0.6578524798383284</v>
      </c>
    </row>
    <row r="73" spans="1:113" ht="16.5" thickBot="1" x14ac:dyDescent="0.3">
      <c r="A73" s="606" t="s">
        <v>298</v>
      </c>
      <c r="B73" s="447"/>
      <c r="C73" s="543"/>
      <c r="D73" s="448"/>
      <c r="E73" s="449"/>
      <c r="F73" s="544">
        <f>F72+F35</f>
        <v>12069.545863383335</v>
      </c>
      <c r="G73" s="42">
        <f t="shared" si="48"/>
        <v>1</v>
      </c>
      <c r="H73" s="446" t="s">
        <v>313</v>
      </c>
      <c r="I73" s="447"/>
      <c r="J73" s="543"/>
      <c r="K73" s="448"/>
      <c r="L73" s="449"/>
      <c r="M73" s="544">
        <f>M72+M35</f>
        <v>12201.371776153783</v>
      </c>
      <c r="N73" s="42">
        <f t="shared" si="49"/>
        <v>1</v>
      </c>
      <c r="O73" s="446" t="s">
        <v>312</v>
      </c>
      <c r="P73" s="447"/>
      <c r="Q73" s="543"/>
      <c r="R73" s="448"/>
      <c r="S73" s="449"/>
      <c r="T73" s="544">
        <f>T72+T35</f>
        <v>85655.931419254557</v>
      </c>
      <c r="U73" s="42">
        <f t="shared" si="50"/>
        <v>1</v>
      </c>
      <c r="V73" s="446" t="s">
        <v>311</v>
      </c>
      <c r="W73" s="447"/>
      <c r="X73" s="543"/>
      <c r="Y73" s="448"/>
      <c r="Z73" s="449"/>
      <c r="AA73" s="544">
        <f>AA72+AA35</f>
        <v>33626.861882476558</v>
      </c>
      <c r="AB73" s="42">
        <f t="shared" si="51"/>
        <v>1</v>
      </c>
      <c r="AC73" s="446" t="s">
        <v>310</v>
      </c>
      <c r="AD73" s="447"/>
      <c r="AE73" s="543"/>
      <c r="AF73" s="448"/>
      <c r="AG73" s="449"/>
      <c r="AH73" s="544">
        <f>AH72+AH35</f>
        <v>54942.251782367573</v>
      </c>
      <c r="AI73" s="42">
        <f t="shared" si="52"/>
        <v>1</v>
      </c>
      <c r="AJ73" s="446" t="s">
        <v>309</v>
      </c>
      <c r="AK73" s="447"/>
      <c r="AL73" s="543"/>
      <c r="AM73" s="448"/>
      <c r="AN73" s="449"/>
      <c r="AO73" s="544">
        <f>AO72+AO35</f>
        <v>56222.808971485792</v>
      </c>
      <c r="AP73" s="42">
        <f t="shared" si="53"/>
        <v>1</v>
      </c>
      <c r="AQ73" s="446" t="s">
        <v>308</v>
      </c>
      <c r="AR73" s="447"/>
      <c r="AS73" s="543"/>
      <c r="AT73" s="448"/>
      <c r="AU73" s="449"/>
      <c r="AV73" s="544">
        <f>AV72+AV35</f>
        <v>54565.737329152253</v>
      </c>
      <c r="AW73" s="42">
        <f t="shared" si="54"/>
        <v>1</v>
      </c>
      <c r="AX73" s="446" t="s">
        <v>307</v>
      </c>
      <c r="AY73" s="447"/>
      <c r="AZ73" s="543"/>
      <c r="BA73" s="448"/>
      <c r="BB73" s="449"/>
      <c r="BC73" s="544">
        <f>BC72+BC35</f>
        <v>54368.328965114619</v>
      </c>
      <c r="BD73" s="42">
        <f t="shared" si="55"/>
        <v>1</v>
      </c>
      <c r="BE73" s="446" t="s">
        <v>306</v>
      </c>
      <c r="BF73" s="447"/>
      <c r="BG73" s="543"/>
      <c r="BH73" s="448"/>
      <c r="BI73" s="449"/>
      <c r="BJ73" s="544">
        <f>BJ72+BJ35</f>
        <v>100312.73374887757</v>
      </c>
      <c r="BK73" s="42">
        <f t="shared" si="92"/>
        <v>1</v>
      </c>
      <c r="BL73" s="446" t="s">
        <v>305</v>
      </c>
      <c r="BM73" s="447"/>
      <c r="BN73" s="543"/>
      <c r="BO73" s="448"/>
      <c r="BP73" s="449"/>
      <c r="BQ73" s="544">
        <f>BQ72+BQ35</f>
        <v>58963.268529540546</v>
      </c>
      <c r="BR73" s="42">
        <f t="shared" si="57"/>
        <v>1</v>
      </c>
      <c r="BS73" s="446" t="s">
        <v>304</v>
      </c>
      <c r="BT73" s="447"/>
      <c r="BU73" s="543"/>
      <c r="BV73" s="448"/>
      <c r="BW73" s="449"/>
      <c r="BX73" s="544">
        <f>BX72+BX35</f>
        <v>54225.627946306413</v>
      </c>
      <c r="BY73" s="42">
        <f t="shared" si="58"/>
        <v>1</v>
      </c>
      <c r="BZ73" s="446" t="s">
        <v>303</v>
      </c>
      <c r="CA73" s="447"/>
      <c r="CB73" s="543"/>
      <c r="CC73" s="448"/>
      <c r="CD73" s="449"/>
      <c r="CE73" s="544">
        <f>CE72+CE35</f>
        <v>55499.735520900096</v>
      </c>
      <c r="CF73" s="42">
        <f t="shared" si="59"/>
        <v>1</v>
      </c>
      <c r="CG73" s="446" t="s">
        <v>302</v>
      </c>
      <c r="CH73" s="447"/>
      <c r="CI73" s="543"/>
      <c r="CJ73" s="448"/>
      <c r="CK73" s="449"/>
      <c r="CL73" s="544">
        <f>CL72+CL35</f>
        <v>53836.15621751127</v>
      </c>
      <c r="CM73" s="42">
        <f t="shared" si="60"/>
        <v>1</v>
      </c>
      <c r="CN73" s="446" t="s">
        <v>301</v>
      </c>
      <c r="CO73" s="447"/>
      <c r="CP73" s="543"/>
      <c r="CQ73" s="448"/>
      <c r="CR73" s="449"/>
      <c r="CS73" s="544">
        <f>CS72+CS35</f>
        <v>53632.181623468874</v>
      </c>
      <c r="CT73" s="42">
        <f t="shared" si="61"/>
        <v>1</v>
      </c>
      <c r="CU73" s="446" t="s">
        <v>300</v>
      </c>
      <c r="CV73" s="447"/>
      <c r="CW73" s="543"/>
      <c r="CX73" s="448"/>
      <c r="CY73" s="449"/>
      <c r="CZ73" s="545">
        <f>CZ72+CZ35</f>
        <v>54900.948181157015</v>
      </c>
      <c r="DA73" s="42">
        <f t="shared" si="62"/>
        <v>1</v>
      </c>
      <c r="DB73" s="446" t="s">
        <v>299</v>
      </c>
      <c r="DC73" s="447"/>
      <c r="DD73" s="543"/>
      <c r="DE73" s="448"/>
      <c r="DF73" s="449"/>
      <c r="DG73" s="545">
        <f>DG72+DG35+DC79</f>
        <v>59231.979791710502</v>
      </c>
      <c r="DH73" s="42">
        <f t="shared" si="63"/>
        <v>1</v>
      </c>
    </row>
    <row r="74" spans="1:113" x14ac:dyDescent="0.2">
      <c r="A74" s="22" t="s">
        <v>98</v>
      </c>
      <c r="B74"/>
      <c r="C74"/>
      <c r="D74"/>
      <c r="E74"/>
      <c r="F74" s="38">
        <f>F12</f>
        <v>2700</v>
      </c>
      <c r="G74" s="13"/>
      <c r="H74" s="22" t="s">
        <v>98</v>
      </c>
      <c r="I74"/>
      <c r="M74" s="38">
        <f>M12</f>
        <v>2700</v>
      </c>
      <c r="N74" s="49"/>
      <c r="O74" s="22" t="s">
        <v>98</v>
      </c>
      <c r="R74"/>
      <c r="T74" s="38">
        <f>T12</f>
        <v>10781.100000000002</v>
      </c>
      <c r="U74" s="49"/>
      <c r="V74" s="22" t="s">
        <v>98</v>
      </c>
      <c r="AA74" s="38">
        <f>AA12</f>
        <v>29637.000000000004</v>
      </c>
      <c r="AB74" s="49"/>
      <c r="AC74" s="22" t="s">
        <v>98</v>
      </c>
      <c r="AH74" s="38">
        <f>AH12</f>
        <v>76500.000000000015</v>
      </c>
      <c r="AI74" s="49"/>
      <c r="AJ74" s="22" t="s">
        <v>98</v>
      </c>
      <c r="AO74" s="38">
        <f>AO12</f>
        <v>76500.000000000015</v>
      </c>
      <c r="AP74" s="49"/>
      <c r="AQ74" s="22" t="s">
        <v>98</v>
      </c>
      <c r="AV74" s="38">
        <f>AV12</f>
        <v>76500.000000000015</v>
      </c>
      <c r="AW74" s="49"/>
      <c r="AX74" s="22" t="s">
        <v>98</v>
      </c>
      <c r="BC74" s="38">
        <f>BC12</f>
        <v>76500.000000000015</v>
      </c>
      <c r="BD74" s="49"/>
      <c r="BE74" s="22" t="s">
        <v>98</v>
      </c>
      <c r="BJ74" s="38">
        <f>BJ12</f>
        <v>76500.000000000015</v>
      </c>
      <c r="BK74" s="49"/>
      <c r="BL74" s="22" t="s">
        <v>98</v>
      </c>
      <c r="BQ74" s="38">
        <f>BQ12</f>
        <v>76500.000000000015</v>
      </c>
      <c r="BR74" s="49"/>
      <c r="BS74" s="22" t="s">
        <v>98</v>
      </c>
      <c r="BX74" s="38">
        <f>BX12</f>
        <v>76500.000000000015</v>
      </c>
      <c r="BY74" s="49"/>
      <c r="BZ74" s="22" t="s">
        <v>98</v>
      </c>
      <c r="CE74" s="38">
        <f>CE12</f>
        <v>76500.000000000015</v>
      </c>
      <c r="CF74" s="49"/>
      <c r="CG74" s="22" t="s">
        <v>98</v>
      </c>
      <c r="CL74" s="38">
        <f>CL12</f>
        <v>76500.000000000015</v>
      </c>
      <c r="CM74" s="49"/>
      <c r="CN74" s="22" t="s">
        <v>98</v>
      </c>
      <c r="CS74" s="38">
        <f>CS12</f>
        <v>76500.000000000015</v>
      </c>
      <c r="CT74" s="49"/>
      <c r="CU74" s="22" t="s">
        <v>98</v>
      </c>
      <c r="CZ74" s="38">
        <f>CZ12</f>
        <v>76500.000000000015</v>
      </c>
      <c r="DA74" s="49"/>
      <c r="DB74" s="22" t="s">
        <v>98</v>
      </c>
      <c r="DG74" s="38">
        <f>DG12</f>
        <v>76500.000000000015</v>
      </c>
      <c r="DH74" s="13"/>
      <c r="DI74" s="1312"/>
    </row>
    <row r="75" spans="1:113" x14ac:dyDescent="0.2">
      <c r="A75" s="22" t="s">
        <v>329</v>
      </c>
      <c r="F75" s="31">
        <f>F74-F73</f>
        <v>-9369.545863383335</v>
      </c>
      <c r="G75" s="49"/>
      <c r="H75" s="22" t="s">
        <v>329</v>
      </c>
      <c r="I75" s="20"/>
      <c r="J75" s="12"/>
      <c r="K75" s="12"/>
      <c r="L75" s="30"/>
      <c r="M75" s="31">
        <f>M74-M73</f>
        <v>-9501.3717761537828</v>
      </c>
      <c r="N75" s="49"/>
      <c r="O75" s="22" t="s">
        <v>329</v>
      </c>
      <c r="P75" s="20"/>
      <c r="Q75" s="12"/>
      <c r="R75" s="12"/>
      <c r="S75" s="30"/>
      <c r="T75" s="31">
        <f>T74-T73</f>
        <v>-74874.831419254551</v>
      </c>
      <c r="U75" s="49"/>
      <c r="V75" s="22" t="s">
        <v>329</v>
      </c>
      <c r="W75" s="20"/>
      <c r="X75" s="12"/>
      <c r="Y75" s="12"/>
      <c r="Z75" s="30"/>
      <c r="AA75" s="31">
        <f>AA74-AA73</f>
        <v>-3989.8618824765545</v>
      </c>
      <c r="AB75" s="49"/>
      <c r="AC75" s="22" t="s">
        <v>329</v>
      </c>
      <c r="AD75" s="20"/>
      <c r="AE75" s="12"/>
      <c r="AF75" s="12"/>
      <c r="AG75" s="30"/>
      <c r="AH75" s="31">
        <f>AH74-AH73</f>
        <v>21557.748217632441</v>
      </c>
      <c r="AI75" s="49"/>
      <c r="AJ75" s="22" t="s">
        <v>329</v>
      </c>
      <c r="AK75" s="20"/>
      <c r="AL75" s="12"/>
      <c r="AM75" s="12"/>
      <c r="AN75" s="30"/>
      <c r="AO75" s="31">
        <f>AO74-AO73</f>
        <v>20277.191028514222</v>
      </c>
      <c r="AP75" s="49"/>
      <c r="AQ75" s="22" t="s">
        <v>329</v>
      </c>
      <c r="AR75" s="20"/>
      <c r="AS75" s="12"/>
      <c r="AT75" s="12"/>
      <c r="AU75" s="30"/>
      <c r="AV75" s="31">
        <f>AV74-AV73</f>
        <v>21934.262670847762</v>
      </c>
      <c r="AW75" s="49"/>
      <c r="AX75" s="22" t="s">
        <v>329</v>
      </c>
      <c r="AY75" s="20"/>
      <c r="AZ75" s="12"/>
      <c r="BA75" s="12"/>
      <c r="BB75" s="30"/>
      <c r="BC75" s="31">
        <f>BC74-BC73</f>
        <v>22131.671034885396</v>
      </c>
      <c r="BD75" s="49"/>
      <c r="BE75" s="22" t="s">
        <v>329</v>
      </c>
      <c r="BF75" s="20"/>
      <c r="BG75" s="12"/>
      <c r="BH75" s="12"/>
      <c r="BI75" s="30"/>
      <c r="BJ75" s="31">
        <f>BJ74-BJ73</f>
        <v>-23812.733748877552</v>
      </c>
      <c r="BK75" s="49"/>
      <c r="BL75" s="22" t="s">
        <v>329</v>
      </c>
      <c r="BM75" s="20"/>
      <c r="BN75" s="12"/>
      <c r="BO75" s="12"/>
      <c r="BP75" s="30"/>
      <c r="BQ75" s="31">
        <f>BQ74-BQ73</f>
        <v>17536.731470459468</v>
      </c>
      <c r="BR75" s="49"/>
      <c r="BS75" s="22" t="s">
        <v>329</v>
      </c>
      <c r="BT75" s="20"/>
      <c r="BU75" s="12"/>
      <c r="BV75" s="12"/>
      <c r="BW75" s="30"/>
      <c r="BX75" s="31">
        <f>BX74-BX73</f>
        <v>22274.372053693602</v>
      </c>
      <c r="BY75" s="49"/>
      <c r="BZ75" s="22" t="s">
        <v>329</v>
      </c>
      <c r="CA75" s="20"/>
      <c r="CB75" s="12"/>
      <c r="CC75" s="12"/>
      <c r="CD75" s="30"/>
      <c r="CE75" s="31">
        <f>CE74-CE73</f>
        <v>21000.264479099918</v>
      </c>
      <c r="CF75" s="49"/>
      <c r="CG75" s="22" t="s">
        <v>329</v>
      </c>
      <c r="CH75" s="20"/>
      <c r="CI75" s="12"/>
      <c r="CJ75" s="12"/>
      <c r="CK75" s="30"/>
      <c r="CL75" s="31">
        <f>CL74-CL73</f>
        <v>22663.843782488744</v>
      </c>
      <c r="CM75" s="49"/>
      <c r="CN75" s="22" t="s">
        <v>329</v>
      </c>
      <c r="CO75" s="20"/>
      <c r="CP75" s="12"/>
      <c r="CQ75" s="12"/>
      <c r="CR75" s="30"/>
      <c r="CS75" s="31">
        <f>CS74-CS73</f>
        <v>22867.818376531141</v>
      </c>
      <c r="CT75" s="49"/>
      <c r="CU75" s="22" t="s">
        <v>329</v>
      </c>
      <c r="CV75" s="20"/>
      <c r="CW75" s="12"/>
      <c r="CX75" s="12"/>
      <c r="CY75" s="30"/>
      <c r="CZ75" s="31">
        <f>CZ74-CZ73</f>
        <v>21599.051818843</v>
      </c>
      <c r="DA75" s="49"/>
      <c r="DB75" s="22" t="s">
        <v>329</v>
      </c>
      <c r="DC75" s="20"/>
      <c r="DD75" s="12"/>
      <c r="DE75" s="12"/>
      <c r="DF75" s="30"/>
      <c r="DG75" s="31">
        <f>DG74-DG73</f>
        <v>17268.020208289512</v>
      </c>
      <c r="DH75" s="13"/>
      <c r="DI75" s="1312"/>
    </row>
    <row r="76" spans="1:113" x14ac:dyDescent="0.2">
      <c r="A76" s="62" t="s">
        <v>347</v>
      </c>
      <c r="F76" s="676">
        <f>'Var Erstellung'!E102*(-1)</f>
        <v>-90890.014449999988</v>
      </c>
      <c r="G76" s="49"/>
      <c r="H76" s="17" t="s">
        <v>330</v>
      </c>
      <c r="I76" s="20"/>
      <c r="J76" s="12"/>
      <c r="K76" s="12"/>
      <c r="L76" s="30"/>
      <c r="M76" s="676">
        <f>F77</f>
        <v>-100259.56031338332</v>
      </c>
      <c r="N76" s="49"/>
      <c r="O76" s="17" t="s">
        <v>331</v>
      </c>
      <c r="P76" s="20"/>
      <c r="Q76" s="12"/>
      <c r="R76" s="12"/>
      <c r="S76" s="30"/>
      <c r="T76" s="676">
        <f>M77</f>
        <v>-109760.93208953711</v>
      </c>
      <c r="U76" s="49"/>
      <c r="V76" s="17" t="s">
        <v>345</v>
      </c>
      <c r="W76" s="20"/>
      <c r="X76" s="12"/>
      <c r="Y76" s="12"/>
      <c r="Z76" s="30"/>
      <c r="AA76" s="676">
        <f>T77</f>
        <v>-184635.76350879166</v>
      </c>
      <c r="AB76" s="676"/>
      <c r="AC76" s="17" t="s">
        <v>344</v>
      </c>
      <c r="AD76" s="20"/>
      <c r="AE76" s="12"/>
      <c r="AF76" s="12"/>
      <c r="AG76" s="30"/>
      <c r="AH76" s="676">
        <f>AA77</f>
        <v>-188625.62539126823</v>
      </c>
      <c r="AI76" s="676"/>
      <c r="AJ76" s="17" t="s">
        <v>343</v>
      </c>
      <c r="AK76" s="20"/>
      <c r="AL76" s="12"/>
      <c r="AM76" s="12"/>
      <c r="AN76" s="30"/>
      <c r="AO76" s="676">
        <f>AH77</f>
        <v>-167067.87717363582</v>
      </c>
      <c r="AP76" s="676"/>
      <c r="AQ76" s="17" t="s">
        <v>342</v>
      </c>
      <c r="AR76" s="20"/>
      <c r="AS76" s="12"/>
      <c r="AT76" s="12"/>
      <c r="AU76" s="30"/>
      <c r="AV76" s="676">
        <f>AO77</f>
        <v>-146790.68614512158</v>
      </c>
      <c r="AW76" s="676"/>
      <c r="AX76" s="17" t="s">
        <v>341</v>
      </c>
      <c r="AY76" s="20"/>
      <c r="AZ76" s="12"/>
      <c r="BA76" s="12"/>
      <c r="BB76" s="30"/>
      <c r="BC76" s="676">
        <f>AV77</f>
        <v>-124856.4234742738</v>
      </c>
      <c r="BD76" s="49"/>
      <c r="BE76" s="17" t="s">
        <v>340</v>
      </c>
      <c r="BF76" s="20"/>
      <c r="BG76" s="12"/>
      <c r="BH76" s="12"/>
      <c r="BI76" s="30"/>
      <c r="BJ76" s="676">
        <f>BC77</f>
        <v>-102724.75243938841</v>
      </c>
      <c r="BK76" s="49"/>
      <c r="BL76" s="17" t="s">
        <v>339</v>
      </c>
      <c r="BM76" s="20"/>
      <c r="BN76" s="12"/>
      <c r="BO76" s="12"/>
      <c r="BP76" s="30"/>
      <c r="BQ76" s="676">
        <f>BJ77</f>
        <v>-126537.48618826595</v>
      </c>
      <c r="BR76" s="49"/>
      <c r="BS76" s="17" t="s">
        <v>338</v>
      </c>
      <c r="BT76" s="20"/>
      <c r="BU76" s="12"/>
      <c r="BV76" s="12"/>
      <c r="BW76" s="30"/>
      <c r="BX76" s="676">
        <f>BQ77</f>
        <v>-109000.75471780649</v>
      </c>
      <c r="BY76" s="49"/>
      <c r="BZ76" s="17" t="s">
        <v>337</v>
      </c>
      <c r="CA76" s="20"/>
      <c r="CB76" s="12"/>
      <c r="CC76" s="12"/>
      <c r="CD76" s="30"/>
      <c r="CE76" s="676">
        <f>BX77</f>
        <v>-86726.382664112884</v>
      </c>
      <c r="CF76" s="49"/>
      <c r="CG76" s="17" t="s">
        <v>336</v>
      </c>
      <c r="CH76" s="20"/>
      <c r="CI76" s="12"/>
      <c r="CJ76" s="12"/>
      <c r="CK76" s="30"/>
      <c r="CL76" s="676">
        <f>CE77</f>
        <v>-65726.118185012965</v>
      </c>
      <c r="CM76" s="49"/>
      <c r="CN76" s="17" t="s">
        <v>335</v>
      </c>
      <c r="CO76" s="20"/>
      <c r="CP76" s="12"/>
      <c r="CQ76" s="12"/>
      <c r="CR76" s="30"/>
      <c r="CS76" s="676">
        <f>CL77</f>
        <v>-43062.274402524214</v>
      </c>
      <c r="CT76" s="49"/>
      <c r="CU76" s="17" t="s">
        <v>334</v>
      </c>
      <c r="CV76" s="20"/>
      <c r="CW76" s="12"/>
      <c r="CX76" s="12"/>
      <c r="CY76" s="30"/>
      <c r="CZ76" s="676">
        <f>CS77</f>
        <v>-20194.456025993073</v>
      </c>
      <c r="DA76" s="49"/>
      <c r="DB76" s="17" t="s">
        <v>333</v>
      </c>
      <c r="DC76" s="20"/>
      <c r="DD76" s="12"/>
      <c r="DE76" s="12"/>
      <c r="DF76" s="30"/>
      <c r="DG76" s="676">
        <f>CZ77</f>
        <v>1404.5957928499265</v>
      </c>
      <c r="DH76" s="13"/>
      <c r="DI76" s="1312"/>
    </row>
    <row r="77" spans="1:113" ht="21.2" customHeight="1" x14ac:dyDescent="0.25">
      <c r="A77" s="65" t="s">
        <v>364</v>
      </c>
      <c r="B77" s="66"/>
      <c r="C77" s="66"/>
      <c r="D77" s="66"/>
      <c r="E77" s="66"/>
      <c r="F77" s="158">
        <f>((F73)*(-1))+F76+F74</f>
        <v>-100259.56031338332</v>
      </c>
      <c r="G77" s="67"/>
      <c r="H77" s="65" t="s">
        <v>331</v>
      </c>
      <c r="I77" s="66"/>
      <c r="J77" s="66"/>
      <c r="K77" s="66"/>
      <c r="L77" s="66"/>
      <c r="M77" s="158">
        <f>((M73)*(-1))+M76+M74</f>
        <v>-109760.93208953711</v>
      </c>
      <c r="N77" s="67"/>
      <c r="O77" s="65" t="s">
        <v>345</v>
      </c>
      <c r="P77" s="66"/>
      <c r="Q77" s="66"/>
      <c r="R77" s="66"/>
      <c r="S77" s="66"/>
      <c r="T77" s="158">
        <f>((T73)*(-1))+T76+T74</f>
        <v>-184635.76350879166</v>
      </c>
      <c r="U77" s="67"/>
      <c r="V77" s="65" t="s">
        <v>344</v>
      </c>
      <c r="W77" s="66"/>
      <c r="X77" s="66"/>
      <c r="Y77" s="66"/>
      <c r="Z77" s="66"/>
      <c r="AA77" s="158">
        <f>((AA73)*(-1))+AA76+AA74</f>
        <v>-188625.62539126823</v>
      </c>
      <c r="AB77" s="67"/>
      <c r="AC77" s="65" t="s">
        <v>343</v>
      </c>
      <c r="AD77" s="66"/>
      <c r="AE77" s="66"/>
      <c r="AF77" s="66"/>
      <c r="AG77" s="66"/>
      <c r="AH77" s="158">
        <f>((AH73)*(-1))+AH76+AH74</f>
        <v>-167067.87717363582</v>
      </c>
      <c r="AI77" s="67"/>
      <c r="AJ77" s="65" t="s">
        <v>342</v>
      </c>
      <c r="AK77" s="66"/>
      <c r="AL77" s="66"/>
      <c r="AM77" s="66"/>
      <c r="AN77" s="66"/>
      <c r="AO77" s="158">
        <f>((AO73)*(-1))+AO76+AO74</f>
        <v>-146790.68614512158</v>
      </c>
      <c r="AP77" s="67"/>
      <c r="AQ77" s="65" t="s">
        <v>341</v>
      </c>
      <c r="AR77" s="66"/>
      <c r="AS77" s="66"/>
      <c r="AT77" s="66"/>
      <c r="AU77" s="66"/>
      <c r="AV77" s="158">
        <f>((AV73)*(-1))+AV76+AV74</f>
        <v>-124856.4234742738</v>
      </c>
      <c r="AW77" s="67"/>
      <c r="AX77" s="65" t="s">
        <v>340</v>
      </c>
      <c r="AY77" s="66"/>
      <c r="AZ77" s="66"/>
      <c r="BA77" s="66"/>
      <c r="BB77" s="66"/>
      <c r="BC77" s="158">
        <f>((BC73)*(-1))+BC76+BC74</f>
        <v>-102724.75243938841</v>
      </c>
      <c r="BD77" s="67"/>
      <c r="BE77" s="65" t="s">
        <v>339</v>
      </c>
      <c r="BF77" s="66"/>
      <c r="BG77" s="66"/>
      <c r="BH77" s="66"/>
      <c r="BI77" s="66"/>
      <c r="BJ77" s="158">
        <f>((BJ73)*(-1))+BJ76+BJ74</f>
        <v>-126537.48618826595</v>
      </c>
      <c r="BK77" s="67"/>
      <c r="BL77" s="65" t="s">
        <v>338</v>
      </c>
      <c r="BM77" s="66"/>
      <c r="BN77" s="66"/>
      <c r="BO77" s="66"/>
      <c r="BP77" s="66"/>
      <c r="BQ77" s="158">
        <f>((BQ73)*(-1))+BQ76+BQ74</f>
        <v>-109000.75471780649</v>
      </c>
      <c r="BR77" s="67"/>
      <c r="BS77" s="65" t="s">
        <v>337</v>
      </c>
      <c r="BT77" s="66"/>
      <c r="BU77" s="66"/>
      <c r="BV77" s="66"/>
      <c r="BW77" s="66"/>
      <c r="BX77" s="158">
        <f>((BX73)*(-1))+BX76+BX74</f>
        <v>-86726.382664112884</v>
      </c>
      <c r="BY77" s="67"/>
      <c r="BZ77" s="65" t="s">
        <v>336</v>
      </c>
      <c r="CA77" s="66"/>
      <c r="CB77" s="66"/>
      <c r="CC77" s="66"/>
      <c r="CD77" s="66"/>
      <c r="CE77" s="158">
        <f>((CE73)*(-1))+CE76+CE74</f>
        <v>-65726.118185012965</v>
      </c>
      <c r="CF77" s="67"/>
      <c r="CG77" s="65" t="s">
        <v>335</v>
      </c>
      <c r="CH77" s="66"/>
      <c r="CI77" s="66"/>
      <c r="CJ77" s="66"/>
      <c r="CK77" s="66"/>
      <c r="CL77" s="158">
        <f>((CL73)*(-1))+CL76+CL74</f>
        <v>-43062.274402524214</v>
      </c>
      <c r="CM77" s="67"/>
      <c r="CN77" s="65" t="s">
        <v>334</v>
      </c>
      <c r="CO77" s="66"/>
      <c r="CP77" s="66"/>
      <c r="CQ77" s="66"/>
      <c r="CR77" s="66"/>
      <c r="CS77" s="158">
        <f>((CS73)*(-1))+CS76+CS74</f>
        <v>-20194.456025993073</v>
      </c>
      <c r="CT77" s="67"/>
      <c r="CU77" s="65" t="s">
        <v>333</v>
      </c>
      <c r="CV77" s="66"/>
      <c r="CW77" s="66"/>
      <c r="CX77" s="66"/>
      <c r="CY77" s="66"/>
      <c r="CZ77" s="158">
        <f>((CZ73)*(-1))+CZ76+CZ74</f>
        <v>1404.5957928499265</v>
      </c>
      <c r="DA77" s="67"/>
      <c r="DB77" s="65" t="s">
        <v>332</v>
      </c>
      <c r="DC77" s="66"/>
      <c r="DD77" s="66"/>
      <c r="DE77" s="66"/>
      <c r="DF77" s="66"/>
      <c r="DG77" s="158">
        <f>((DG73)*(-1))+DG76+DG74</f>
        <v>18672.616001139439</v>
      </c>
      <c r="DH77" s="168"/>
      <c r="DI77" s="1312"/>
    </row>
    <row r="78" spans="1:113" x14ac:dyDescent="0.2">
      <c r="A78" s="161" t="s">
        <v>72</v>
      </c>
      <c r="B78" s="162"/>
      <c r="C78" s="160"/>
      <c r="D78" s="160"/>
      <c r="E78" s="160"/>
      <c r="F78" s="160">
        <f>F77*(-1)</f>
        <v>100259.56031338332</v>
      </c>
      <c r="G78" s="160"/>
      <c r="H78" s="161" t="s">
        <v>72</v>
      </c>
      <c r="I78" s="162"/>
      <c r="J78" s="160"/>
      <c r="K78" s="160"/>
      <c r="L78" s="160"/>
      <c r="M78" s="160">
        <f>M77*(-1)</f>
        <v>109760.93208953711</v>
      </c>
      <c r="N78" s="160"/>
      <c r="O78" s="161" t="s">
        <v>72</v>
      </c>
      <c r="P78" s="162"/>
      <c r="Q78" s="160"/>
      <c r="R78" s="160"/>
      <c r="S78" s="160"/>
      <c r="T78" s="160">
        <f>T77*(-1)</f>
        <v>184635.76350879166</v>
      </c>
      <c r="U78" s="160"/>
      <c r="V78" s="163" t="s">
        <v>72</v>
      </c>
      <c r="W78" s="162"/>
      <c r="X78" s="160"/>
      <c r="Y78" s="160"/>
      <c r="Z78" s="160"/>
      <c r="AA78" s="236">
        <f>(AA77)*(-1)</f>
        <v>188625.62539126823</v>
      </c>
      <c r="AB78" s="160"/>
      <c r="AC78" s="163" t="s">
        <v>72</v>
      </c>
      <c r="AD78" s="162"/>
      <c r="AE78" s="160"/>
      <c r="AF78" s="160"/>
      <c r="AG78" s="160"/>
      <c r="AH78" s="237">
        <f>(AA78)-($AA$78/'Var Vorgaben'!$B$24)</f>
        <v>172906.8232753292</v>
      </c>
      <c r="AI78" s="160"/>
      <c r="AJ78" s="163" t="s">
        <v>72</v>
      </c>
      <c r="AK78" s="162"/>
      <c r="AL78" s="160"/>
      <c r="AM78" s="160"/>
      <c r="AN78" s="160"/>
      <c r="AO78" s="237">
        <f>(AH78)-($AA$78/'Var Vorgaben'!$B$24)</f>
        <v>157188.02115939016</v>
      </c>
      <c r="AP78" s="160"/>
      <c r="AQ78" s="163" t="s">
        <v>72</v>
      </c>
      <c r="AR78" s="162"/>
      <c r="AS78" s="160"/>
      <c r="AT78" s="160"/>
      <c r="AU78" s="160"/>
      <c r="AV78" s="237">
        <f>(AO78)-($AA$78/'Var Vorgaben'!$B$24)</f>
        <v>141469.21904345113</v>
      </c>
      <c r="AW78" s="160"/>
      <c r="AX78" s="163" t="s">
        <v>72</v>
      </c>
      <c r="AY78" s="162"/>
      <c r="AZ78" s="160"/>
      <c r="BA78" s="160"/>
      <c r="BB78" s="160"/>
      <c r="BC78" s="237">
        <f>(AV78)-($AA$78/'Var Vorgaben'!$B$24)</f>
        <v>125750.41692751211</v>
      </c>
      <c r="BD78" s="160"/>
      <c r="BE78" s="163" t="s">
        <v>72</v>
      </c>
      <c r="BF78" s="162"/>
      <c r="BG78" s="160"/>
      <c r="BH78" s="160"/>
      <c r="BI78" s="160"/>
      <c r="BJ78" s="237">
        <f>(BC78)-($AA$78/'Var Vorgaben'!$B$24)</f>
        <v>110031.61481157309</v>
      </c>
      <c r="BK78" s="160"/>
      <c r="BL78" s="163" t="s">
        <v>72</v>
      </c>
      <c r="BM78" s="162"/>
      <c r="BN78" s="160"/>
      <c r="BO78" s="160"/>
      <c r="BP78" s="160"/>
      <c r="BQ78" s="237">
        <f>(BJ78)-($AA$78/'Var Vorgaben'!$B$24)</f>
        <v>94312.812695634071</v>
      </c>
      <c r="BR78" s="160"/>
      <c r="BS78" s="163" t="s">
        <v>72</v>
      </c>
      <c r="BT78" s="162"/>
      <c r="BU78" s="160"/>
      <c r="BV78" s="160"/>
      <c r="BW78" s="160"/>
      <c r="BX78" s="237">
        <f>(BQ78)-($AA$78/'Var Vorgaben'!$B$24)</f>
        <v>78594.010579695052</v>
      </c>
      <c r="BY78" s="160"/>
      <c r="BZ78" s="163" t="s">
        <v>72</v>
      </c>
      <c r="CA78" s="162"/>
      <c r="CB78" s="160"/>
      <c r="CC78" s="160"/>
      <c r="CD78" s="160"/>
      <c r="CE78" s="237">
        <f>(BX78)-($AA$78/'Var Vorgaben'!$B$24)</f>
        <v>62875.208463756033</v>
      </c>
      <c r="CF78" s="160"/>
      <c r="CG78" s="163" t="s">
        <v>72</v>
      </c>
      <c r="CH78" s="162"/>
      <c r="CI78" s="160"/>
      <c r="CJ78" s="160"/>
      <c r="CK78" s="160"/>
      <c r="CL78" s="237">
        <f>(CE78)-($AA$78/'Var Vorgaben'!$B$24)</f>
        <v>47156.406347817014</v>
      </c>
      <c r="CM78" s="160"/>
      <c r="CN78" s="163" t="s">
        <v>72</v>
      </c>
      <c r="CO78" s="162"/>
      <c r="CP78" s="160"/>
      <c r="CQ78" s="160"/>
      <c r="CR78" s="160"/>
      <c r="CS78" s="237">
        <f>(CL78)-($AA$78/'Var Vorgaben'!$B$24)</f>
        <v>31437.604231877995</v>
      </c>
      <c r="CT78" s="160"/>
      <c r="CU78" s="163" t="s">
        <v>72</v>
      </c>
      <c r="CV78" s="162"/>
      <c r="CW78" s="160"/>
      <c r="CX78" s="160"/>
      <c r="CY78" s="160"/>
      <c r="CZ78" s="237">
        <f>(CS78)-($AA$78/'Var Vorgaben'!$B$24)</f>
        <v>15718.802115938975</v>
      </c>
      <c r="DA78" s="223"/>
      <c r="DB78" s="163" t="s">
        <v>72</v>
      </c>
      <c r="DC78" s="162"/>
      <c r="DD78" s="160"/>
      <c r="DE78" s="160"/>
      <c r="DF78" s="160"/>
      <c r="DG78" s="237">
        <f>(CZ78)-($AA$78/'Var Vorgaben'!$B$24)</f>
        <v>-4.3655745685100555E-11</v>
      </c>
      <c r="DH78" s="1313"/>
      <c r="DI78" s="1312"/>
    </row>
    <row r="79" spans="1:113" x14ac:dyDescent="0.2">
      <c r="A79"/>
      <c r="B79"/>
      <c r="C79"/>
      <c r="D79"/>
      <c r="E79"/>
      <c r="F79"/>
      <c r="G79"/>
      <c r="H79"/>
      <c r="I79"/>
      <c r="O79" s="22"/>
      <c r="P79" s="22"/>
      <c r="Q79" s="22"/>
      <c r="R79" s="22"/>
      <c r="S79" s="22"/>
      <c r="T79" s="157"/>
      <c r="CU79" s="219"/>
      <c r="CV79" s="220"/>
      <c r="DA79" s="75"/>
      <c r="DB79" s="219" t="s">
        <v>162</v>
      </c>
      <c r="DC79" s="220">
        <f>'Var Vorgaben'!C33</f>
        <v>6000</v>
      </c>
    </row>
    <row r="80" spans="1:113" x14ac:dyDescent="0.2">
      <c r="A80" s="24"/>
      <c r="B80" s="24"/>
      <c r="C80" s="24"/>
      <c r="D80" s="24"/>
      <c r="E80" s="24"/>
      <c r="F80" s="24"/>
      <c r="G80" s="24"/>
      <c r="H80" s="24"/>
      <c r="I80" s="24"/>
      <c r="J80" s="24"/>
      <c r="K80" s="24"/>
      <c r="L80" s="24"/>
      <c r="M80" s="24"/>
      <c r="N80" s="24"/>
      <c r="O80" s="18"/>
      <c r="P80" s="24"/>
      <c r="Q80" s="18"/>
      <c r="R80" s="90"/>
      <c r="S80" s="18"/>
      <c r="T80" s="18"/>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row>
    <row r="81" spans="1:112" x14ac:dyDescent="0.2">
      <c r="A81" s="51"/>
      <c r="B81" s="52"/>
      <c r="C81" s="53"/>
      <c r="D81" s="53"/>
      <c r="E81" s="54"/>
      <c r="F81" s="55"/>
      <c r="G81" s="53"/>
      <c r="H81" s="51"/>
      <c r="I81" s="52"/>
      <c r="J81" s="53"/>
      <c r="K81" s="53"/>
      <c r="L81" s="54"/>
      <c r="M81" s="55"/>
      <c r="N81" s="53"/>
      <c r="O81" s="24"/>
      <c r="P81" s="52"/>
      <c r="Q81" s="24"/>
      <c r="R81" s="50"/>
      <c r="S81" s="24"/>
      <c r="T81" s="85"/>
      <c r="U81" s="53"/>
      <c r="V81" s="51"/>
      <c r="W81" s="52"/>
      <c r="X81" s="53"/>
      <c r="Y81" s="56"/>
      <c r="Z81" s="54"/>
      <c r="AA81" s="55"/>
      <c r="AB81" s="53"/>
      <c r="AC81" s="51"/>
      <c r="AD81" s="52"/>
      <c r="AE81" s="53"/>
      <c r="AF81" s="56"/>
      <c r="AG81" s="54"/>
      <c r="AH81" s="55"/>
      <c r="AI81" s="53"/>
      <c r="AJ81" s="51"/>
      <c r="AK81" s="52"/>
      <c r="AL81" s="53"/>
      <c r="AM81" s="56"/>
      <c r="AN81" s="54"/>
      <c r="AO81" s="55"/>
      <c r="AP81" s="53"/>
      <c r="AQ81" s="51"/>
      <c r="AR81" s="52"/>
      <c r="AS81" s="53"/>
      <c r="AT81" s="56"/>
      <c r="AU81" s="54"/>
      <c r="AV81" s="55"/>
      <c r="AW81" s="53"/>
      <c r="AX81" s="51"/>
      <c r="AY81" s="51"/>
      <c r="AZ81" s="51"/>
      <c r="BA81" s="51"/>
      <c r="BB81" s="51"/>
      <c r="BC81" s="51"/>
      <c r="BD81" s="51"/>
      <c r="BE81" s="51"/>
      <c r="BF81" s="51"/>
      <c r="BG81" s="51"/>
      <c r="BH81" s="51"/>
      <c r="BI81" s="51"/>
      <c r="BJ81" s="51"/>
      <c r="BK81" s="51"/>
      <c r="BL81" s="51"/>
      <c r="BM81" s="52"/>
      <c r="BN81" s="53"/>
      <c r="BO81" s="56"/>
      <c r="BP81" s="54"/>
      <c r="BQ81" s="55"/>
      <c r="BR81" s="53"/>
      <c r="BS81" s="51"/>
      <c r="BT81" s="52"/>
      <c r="BU81" s="53"/>
      <c r="BV81" s="56"/>
      <c r="BW81" s="54"/>
      <c r="BX81" s="55"/>
      <c r="BY81" s="53"/>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row>
    <row r="82" spans="1:112" ht="20.25" customHeight="1" x14ac:dyDescent="0.25">
      <c r="A82" s="2"/>
      <c r="B82" s="52"/>
      <c r="C82" s="57"/>
      <c r="D82" s="57"/>
      <c r="E82" s="58"/>
      <c r="F82" s="59"/>
      <c r="G82" s="57"/>
      <c r="H82" s="51"/>
      <c r="I82" s="52"/>
      <c r="J82" s="57"/>
      <c r="K82" s="57"/>
      <c r="L82" s="58"/>
      <c r="M82" s="59"/>
      <c r="N82" s="57"/>
      <c r="O82" s="51"/>
      <c r="P82" s="52"/>
      <c r="Q82" s="57"/>
      <c r="R82" s="60"/>
      <c r="S82" s="58"/>
      <c r="T82" s="59"/>
      <c r="U82" s="57"/>
      <c r="V82" s="51"/>
      <c r="W82" s="52"/>
      <c r="X82" s="57"/>
      <c r="Y82" s="60"/>
      <c r="Z82" s="58"/>
      <c r="AA82" s="59"/>
      <c r="AB82" s="57"/>
      <c r="AC82" s="51"/>
      <c r="AD82" s="52"/>
      <c r="AE82" s="57"/>
      <c r="AF82" s="60"/>
      <c r="AG82" s="58"/>
      <c r="AH82" s="59"/>
      <c r="AI82" s="57"/>
      <c r="AJ82" s="51"/>
      <c r="AK82" s="52"/>
      <c r="AL82" s="57"/>
      <c r="AM82" s="60"/>
      <c r="AN82" s="58"/>
      <c r="AO82" s="59"/>
      <c r="AP82" s="57"/>
      <c r="AQ82" s="51"/>
      <c r="AR82" s="52"/>
      <c r="AS82" s="57"/>
      <c r="AT82" s="60"/>
      <c r="AU82" s="58"/>
      <c r="AV82" s="59"/>
      <c r="AW82" s="57"/>
      <c r="AX82" s="51"/>
      <c r="AY82" s="51"/>
      <c r="AZ82" s="51"/>
      <c r="BA82" s="51"/>
      <c r="BB82" s="51"/>
      <c r="BC82" s="51"/>
      <c r="BD82" s="51"/>
      <c r="BE82" s="51"/>
      <c r="BF82" s="51"/>
      <c r="BG82" s="51"/>
      <c r="BH82" s="51"/>
      <c r="BI82" s="51"/>
      <c r="BJ82" s="51"/>
      <c r="BK82" s="51"/>
      <c r="BL82" s="51"/>
      <c r="BM82" s="52"/>
      <c r="BN82" s="57"/>
      <c r="BO82" s="60"/>
      <c r="BP82" s="58"/>
      <c r="BQ82" s="59"/>
      <c r="BR82" s="57"/>
      <c r="BS82" s="51"/>
      <c r="BT82" s="52"/>
      <c r="BU82" s="57"/>
      <c r="BV82" s="60"/>
      <c r="BW82" s="58"/>
      <c r="BX82" s="59"/>
      <c r="BY82" s="57"/>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c r="CX82" s="51"/>
      <c r="CY82" s="51"/>
      <c r="CZ82" s="51"/>
      <c r="DA82" s="51"/>
      <c r="DB82" s="51"/>
      <c r="DC82" s="51"/>
      <c r="DD82" s="51"/>
      <c r="DE82" s="51"/>
      <c r="DF82" s="51"/>
      <c r="DG82" s="51"/>
      <c r="DH82" s="51"/>
    </row>
    <row r="83" spans="1:112" x14ac:dyDescent="0.2">
      <c r="A83" s="51"/>
      <c r="B83" s="52"/>
      <c r="C83" s="57"/>
      <c r="D83" s="57"/>
      <c r="E83" s="58"/>
      <c r="F83" s="59"/>
      <c r="G83" s="57"/>
      <c r="H83" s="57"/>
      <c r="I83" s="57"/>
      <c r="J83" s="24"/>
      <c r="K83" s="24"/>
      <c r="L83" s="24"/>
      <c r="M83" s="24"/>
      <c r="N83" s="24"/>
      <c r="O83" s="57"/>
      <c r="P83" s="57"/>
      <c r="Q83" s="24"/>
      <c r="R83" s="50"/>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row>
    <row r="84" spans="1:112" x14ac:dyDescent="0.2">
      <c r="A84" s="51"/>
      <c r="B84" s="52"/>
      <c r="C84" s="57"/>
      <c r="D84" s="57"/>
      <c r="E84" s="58"/>
      <c r="F84" s="59"/>
      <c r="G84" s="57"/>
      <c r="H84" s="57"/>
      <c r="I84" s="57"/>
      <c r="J84" s="24"/>
      <c r="K84" s="24"/>
      <c r="L84" s="24"/>
      <c r="M84" s="24"/>
      <c r="N84" s="24"/>
      <c r="O84" s="57"/>
      <c r="P84" s="57"/>
      <c r="Q84" s="24"/>
      <c r="R84" s="50"/>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row>
    <row r="85" spans="1:112" x14ac:dyDescent="0.2">
      <c r="A85" s="51"/>
      <c r="B85" s="24"/>
      <c r="C85" s="24"/>
      <c r="D85" s="24"/>
      <c r="E85" s="24"/>
      <c r="F85" s="24"/>
      <c r="G85" s="57"/>
      <c r="H85" s="51"/>
      <c r="I85" s="24"/>
      <c r="J85" s="24"/>
      <c r="K85" s="24"/>
      <c r="L85" s="24"/>
      <c r="M85" s="24"/>
      <c r="N85" s="57"/>
      <c r="O85" s="51"/>
      <c r="P85" s="24"/>
      <c r="Q85" s="24"/>
      <c r="R85" s="50"/>
      <c r="S85" s="24"/>
      <c r="T85" s="24"/>
      <c r="U85" s="57"/>
      <c r="V85" s="51"/>
      <c r="W85" s="24"/>
      <c r="X85" s="24"/>
      <c r="Y85" s="50"/>
      <c r="Z85" s="24"/>
      <c r="AA85" s="24"/>
      <c r="AB85" s="57"/>
      <c r="AC85" s="51"/>
      <c r="AD85" s="24"/>
      <c r="AE85" s="24"/>
      <c r="AF85" s="50"/>
      <c r="AG85" s="24"/>
      <c r="AH85" s="24"/>
      <c r="AI85" s="57"/>
      <c r="AJ85" s="51"/>
      <c r="AK85" s="24"/>
      <c r="AL85" s="24"/>
      <c r="AM85" s="50"/>
      <c r="AN85" s="24"/>
      <c r="AO85" s="24"/>
      <c r="AP85" s="57"/>
      <c r="AQ85" s="51"/>
      <c r="AR85" s="24"/>
      <c r="AS85" s="24"/>
      <c r="AT85" s="50"/>
      <c r="AU85" s="24"/>
      <c r="AV85" s="24"/>
      <c r="AW85" s="57"/>
      <c r="AX85" s="24"/>
      <c r="AY85" s="24"/>
      <c r="AZ85" s="24"/>
      <c r="BA85" s="24"/>
      <c r="BB85" s="24"/>
      <c r="BC85" s="24"/>
      <c r="BD85" s="24"/>
      <c r="BE85" s="24"/>
      <c r="BF85" s="24"/>
      <c r="BG85" s="24"/>
      <c r="BH85" s="24"/>
      <c r="BI85" s="24"/>
      <c r="BJ85" s="24"/>
      <c r="BK85" s="24"/>
      <c r="BL85" s="51"/>
      <c r="BM85" s="24"/>
      <c r="BN85" s="24"/>
      <c r="BO85" s="50"/>
      <c r="BP85" s="24"/>
      <c r="BQ85" s="24"/>
      <c r="BR85" s="57"/>
      <c r="BS85" s="51"/>
      <c r="BT85" s="24"/>
      <c r="BU85" s="24"/>
      <c r="BV85" s="50"/>
      <c r="BW85" s="24"/>
      <c r="BX85" s="24"/>
      <c r="BY85" s="57"/>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row>
    <row r="86" spans="1:112" x14ac:dyDescent="0.2">
      <c r="A86" s="51"/>
      <c r="B86" s="52"/>
      <c r="C86" s="57"/>
      <c r="D86" s="57"/>
      <c r="E86" s="58"/>
      <c r="F86" s="59"/>
      <c r="G86" s="57"/>
      <c r="H86" s="57"/>
      <c r="I86" s="57"/>
      <c r="J86" s="24"/>
      <c r="K86" s="24"/>
      <c r="L86" s="24"/>
      <c r="M86" s="24"/>
      <c r="N86" s="24"/>
      <c r="O86" s="57"/>
      <c r="P86" s="57"/>
      <c r="Q86" s="24"/>
      <c r="R86" s="50"/>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row>
    <row r="87" spans="1:112" x14ac:dyDescent="0.2">
      <c r="A87" s="51"/>
      <c r="B87" s="52"/>
      <c r="C87" s="57"/>
      <c r="D87" s="57"/>
      <c r="E87" s="58"/>
      <c r="F87" s="59"/>
      <c r="G87" s="57"/>
      <c r="H87" s="57"/>
      <c r="I87" s="57"/>
      <c r="J87" s="24"/>
      <c r="K87" s="24"/>
      <c r="L87" s="24"/>
      <c r="M87" s="24"/>
      <c r="N87" s="24"/>
      <c r="O87" s="57"/>
      <c r="P87" s="57"/>
      <c r="Q87" s="24"/>
      <c r="R87" s="50"/>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row>
    <row r="88" spans="1:112" x14ac:dyDescent="0.2">
      <c r="A88" s="3"/>
      <c r="B88" s="4"/>
      <c r="C88" s="45"/>
      <c r="D88" s="45"/>
      <c r="E88" s="61"/>
      <c r="F88" s="43"/>
      <c r="G88" s="45"/>
      <c r="H88" s="45"/>
      <c r="I88" s="45"/>
      <c r="J88" s="1"/>
      <c r="K88" s="1"/>
      <c r="L88" s="1"/>
      <c r="M88" s="1"/>
      <c r="N88" s="1"/>
      <c r="O88" s="45"/>
      <c r="P88" s="45"/>
      <c r="Q88" s="1"/>
      <c r="R88" s="46"/>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24"/>
      <c r="DB88" s="1"/>
      <c r="DC88" s="1"/>
      <c r="DD88" s="1"/>
      <c r="DE88" s="1"/>
      <c r="DF88" s="1"/>
      <c r="DG88" s="1"/>
      <c r="DH88" s="24"/>
    </row>
    <row r="89" spans="1:112" x14ac:dyDescent="0.2">
      <c r="A89"/>
      <c r="B89"/>
      <c r="C89"/>
      <c r="D89"/>
      <c r="E89"/>
      <c r="F89"/>
      <c r="G89"/>
      <c r="H89"/>
      <c r="I89"/>
      <c r="R89"/>
    </row>
    <row r="90" spans="1:112" x14ac:dyDescent="0.2">
      <c r="A90" s="3"/>
      <c r="B90" s="4"/>
      <c r="C90" s="45"/>
      <c r="D90" s="45"/>
      <c r="E90" s="61"/>
      <c r="F90" s="43"/>
      <c r="G90" s="45"/>
      <c r="H90" s="45"/>
      <c r="I90" s="45"/>
      <c r="J90" s="1"/>
      <c r="K90" s="1"/>
      <c r="L90" s="1"/>
      <c r="M90" s="1"/>
      <c r="N90" s="1"/>
      <c r="O90" s="45"/>
      <c r="P90" s="45"/>
      <c r="Q90" s="1"/>
      <c r="R90" s="46"/>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24"/>
      <c r="DB90" s="1"/>
      <c r="DC90" s="1"/>
      <c r="DD90" s="1"/>
      <c r="DE90" s="1"/>
      <c r="DF90" s="1"/>
      <c r="DG90" s="1"/>
      <c r="DH90" s="24"/>
    </row>
    <row r="91" spans="1:112" x14ac:dyDescent="0.2">
      <c r="O91" s="12"/>
      <c r="P91" s="12"/>
    </row>
    <row r="92" spans="1:112" x14ac:dyDescent="0.2">
      <c r="O92" s="12"/>
      <c r="P92" s="12"/>
    </row>
    <row r="93" spans="1:112" x14ac:dyDescent="0.2">
      <c r="O93" s="12"/>
      <c r="P93" s="12"/>
    </row>
    <row r="94" spans="1:112" x14ac:dyDescent="0.2">
      <c r="O94" s="12"/>
      <c r="P94" s="12"/>
    </row>
    <row r="95" spans="1:112" x14ac:dyDescent="0.2">
      <c r="O95" s="12"/>
      <c r="P95" s="12"/>
    </row>
    <row r="96" spans="1:112" x14ac:dyDescent="0.2">
      <c r="O96" s="12"/>
      <c r="P96" s="12"/>
    </row>
    <row r="97" spans="15:16" x14ac:dyDescent="0.2">
      <c r="O97" s="12"/>
      <c r="P97" s="12"/>
    </row>
    <row r="98" spans="15:16" x14ac:dyDescent="0.2">
      <c r="O98" s="12"/>
      <c r="P98" s="12"/>
    </row>
    <row r="99" spans="15:16" x14ac:dyDescent="0.2">
      <c r="O99" s="12"/>
      <c r="P99" s="12"/>
    </row>
    <row r="100" spans="15:16" x14ac:dyDescent="0.2">
      <c r="O100" s="12"/>
      <c r="P100" s="12"/>
    </row>
    <row r="101" spans="15:16" x14ac:dyDescent="0.2">
      <c r="O101" s="12"/>
      <c r="P101" s="12"/>
    </row>
    <row r="102" spans="15:16" x14ac:dyDescent="0.2">
      <c r="O102" s="12"/>
      <c r="P102" s="12"/>
    </row>
    <row r="103" spans="15:16" x14ac:dyDescent="0.2">
      <c r="O103" s="12"/>
      <c r="P103" s="12"/>
    </row>
    <row r="104" spans="15:16" x14ac:dyDescent="0.2">
      <c r="O104" s="12"/>
      <c r="P104" s="12"/>
    </row>
    <row r="105" spans="15:16" x14ac:dyDescent="0.2">
      <c r="O105" s="12"/>
      <c r="P105" s="12"/>
    </row>
    <row r="106" spans="15:16" x14ac:dyDescent="0.2">
      <c r="O106" s="12"/>
      <c r="P106" s="12"/>
    </row>
    <row r="107" spans="15:16" x14ac:dyDescent="0.2">
      <c r="O107" s="12"/>
      <c r="P107" s="12"/>
    </row>
    <row r="108" spans="15:16" x14ac:dyDescent="0.2">
      <c r="O108" s="12"/>
      <c r="P108" s="12"/>
    </row>
    <row r="109" spans="15:16" x14ac:dyDescent="0.2">
      <c r="O109" s="12"/>
      <c r="P109" s="12"/>
    </row>
    <row r="110" spans="15:16" x14ac:dyDescent="0.2">
      <c r="O110" s="12"/>
      <c r="P110" s="12"/>
    </row>
    <row r="111" spans="15:16" x14ac:dyDescent="0.2">
      <c r="O111" s="12"/>
      <c r="P111" s="12"/>
    </row>
    <row r="112" spans="15:16" x14ac:dyDescent="0.2">
      <c r="O112" s="12"/>
      <c r="P112" s="12"/>
    </row>
    <row r="113" spans="15:16" x14ac:dyDescent="0.2">
      <c r="O113" s="12"/>
      <c r="P113" s="12"/>
    </row>
    <row r="114" spans="15:16" x14ac:dyDescent="0.2">
      <c r="O114" s="12"/>
      <c r="P114" s="12"/>
    </row>
    <row r="115" spans="15:16" x14ac:dyDescent="0.2">
      <c r="O115" s="12"/>
      <c r="P115" s="12"/>
    </row>
    <row r="116" spans="15:16" x14ac:dyDescent="0.2">
      <c r="O116" s="12"/>
      <c r="P116" s="12"/>
    </row>
    <row r="117" spans="15:16" x14ac:dyDescent="0.2">
      <c r="O117" s="12"/>
      <c r="P117" s="12"/>
    </row>
    <row r="118" spans="15:16" x14ac:dyDescent="0.2">
      <c r="O118" s="12"/>
      <c r="P118" s="12"/>
    </row>
    <row r="119" spans="15:16" x14ac:dyDescent="0.2">
      <c r="O119" s="12"/>
      <c r="P119" s="12"/>
    </row>
    <row r="120" spans="15:16" x14ac:dyDescent="0.2">
      <c r="O120" s="12"/>
      <c r="P120" s="12"/>
    </row>
    <row r="121" spans="15:16" x14ac:dyDescent="0.2">
      <c r="O121" s="12"/>
      <c r="P121" s="12"/>
    </row>
    <row r="122" spans="15:16" x14ac:dyDescent="0.2">
      <c r="O122" s="12"/>
      <c r="P122" s="12"/>
    </row>
    <row r="123" spans="15:16" x14ac:dyDescent="0.2">
      <c r="O123" s="12"/>
      <c r="P123" s="12"/>
    </row>
    <row r="124" spans="15:16" x14ac:dyDescent="0.2">
      <c r="O124" s="12"/>
      <c r="P124" s="12"/>
    </row>
    <row r="125" spans="15:16" x14ac:dyDescent="0.2">
      <c r="O125" s="12"/>
      <c r="P125" s="12"/>
    </row>
    <row r="126" spans="15:16" x14ac:dyDescent="0.2">
      <c r="O126" s="12"/>
      <c r="P126" s="12"/>
    </row>
    <row r="127" spans="15:16" x14ac:dyDescent="0.2">
      <c r="O127" s="12"/>
      <c r="P127" s="12"/>
    </row>
    <row r="128" spans="15:16" x14ac:dyDescent="0.2">
      <c r="O128" s="12"/>
      <c r="P128" s="12"/>
    </row>
    <row r="129" spans="15:16" x14ac:dyDescent="0.2">
      <c r="O129" s="12"/>
      <c r="P129" s="12"/>
    </row>
    <row r="130" spans="15:16" x14ac:dyDescent="0.2">
      <c r="O130" s="12"/>
      <c r="P130" s="12"/>
    </row>
    <row r="131" spans="15:16" x14ac:dyDescent="0.2">
      <c r="O131" s="12"/>
      <c r="P131" s="12"/>
    </row>
    <row r="132" spans="15:16" x14ac:dyDescent="0.2">
      <c r="O132" s="12"/>
      <c r="P132" s="12"/>
    </row>
    <row r="133" spans="15:16" x14ac:dyDescent="0.2">
      <c r="O133" s="12"/>
      <c r="P133" s="12"/>
    </row>
    <row r="134" spans="15:16" x14ac:dyDescent="0.2">
      <c r="O134" s="12"/>
      <c r="P134" s="12"/>
    </row>
    <row r="135" spans="15:16" x14ac:dyDescent="0.2">
      <c r="O135" s="12"/>
      <c r="P135" s="12"/>
    </row>
    <row r="136" spans="15:16" x14ac:dyDescent="0.2">
      <c r="O136" s="12"/>
      <c r="P136" s="12"/>
    </row>
    <row r="137" spans="15:16" x14ac:dyDescent="0.2">
      <c r="O137" s="12"/>
      <c r="P137" s="12"/>
    </row>
    <row r="138" spans="15:16" x14ac:dyDescent="0.2">
      <c r="O138" s="12"/>
      <c r="P138" s="12"/>
    </row>
    <row r="139" spans="15:16" x14ac:dyDescent="0.2">
      <c r="O139" s="12"/>
      <c r="P139" s="12"/>
    </row>
    <row r="140" spans="15:16" x14ac:dyDescent="0.2">
      <c r="O140" s="12"/>
      <c r="P140" s="12"/>
    </row>
    <row r="141" spans="15:16" x14ac:dyDescent="0.2">
      <c r="O141" s="12"/>
      <c r="P141" s="12"/>
    </row>
    <row r="142" spans="15:16" x14ac:dyDescent="0.2">
      <c r="O142" s="12"/>
      <c r="P142" s="12"/>
    </row>
    <row r="143" spans="15:16" x14ac:dyDescent="0.2">
      <c r="O143" s="12"/>
      <c r="P143" s="12"/>
    </row>
    <row r="144" spans="15:16" x14ac:dyDescent="0.2">
      <c r="O144" s="12"/>
      <c r="P144" s="12"/>
    </row>
    <row r="145" spans="15:16" x14ac:dyDescent="0.2">
      <c r="O145" s="12"/>
      <c r="P145" s="12"/>
    </row>
    <row r="146" spans="15:16" x14ac:dyDescent="0.2">
      <c r="O146" s="12"/>
      <c r="P146" s="12"/>
    </row>
    <row r="147" spans="15:16" x14ac:dyDescent="0.2">
      <c r="O147" s="12"/>
      <c r="P147" s="12"/>
    </row>
    <row r="148" spans="15:16" x14ac:dyDescent="0.2">
      <c r="O148" s="12"/>
      <c r="P148" s="12"/>
    </row>
    <row r="149" spans="15:16" x14ac:dyDescent="0.2">
      <c r="O149" s="12"/>
      <c r="P149" s="12"/>
    </row>
    <row r="150" spans="15:16" x14ac:dyDescent="0.2">
      <c r="O150" s="12"/>
      <c r="P150" s="12"/>
    </row>
    <row r="151" spans="15:16" x14ac:dyDescent="0.2">
      <c r="O151" s="12"/>
      <c r="P151" s="12"/>
    </row>
    <row r="152" spans="15:16" x14ac:dyDescent="0.2">
      <c r="O152" s="12"/>
      <c r="P152" s="12"/>
    </row>
    <row r="153" spans="15:16" x14ac:dyDescent="0.2">
      <c r="O153" s="12"/>
      <c r="P153" s="12"/>
    </row>
    <row r="154" spans="15:16" x14ac:dyDescent="0.2">
      <c r="O154" s="12"/>
      <c r="P154" s="12"/>
    </row>
    <row r="155" spans="15:16" x14ac:dyDescent="0.2">
      <c r="O155" s="12"/>
      <c r="P155" s="12"/>
    </row>
    <row r="156" spans="15:16" x14ac:dyDescent="0.2">
      <c r="O156" s="12"/>
      <c r="P156" s="12"/>
    </row>
    <row r="157" spans="15:16" x14ac:dyDescent="0.2">
      <c r="O157" s="12"/>
      <c r="P157" s="12"/>
    </row>
    <row r="158" spans="15:16" x14ac:dyDescent="0.2">
      <c r="O158" s="12"/>
      <c r="P158" s="12"/>
    </row>
    <row r="159" spans="15:16" x14ac:dyDescent="0.2">
      <c r="O159" s="12"/>
      <c r="P159" s="12"/>
    </row>
    <row r="160" spans="15:16" x14ac:dyDescent="0.2">
      <c r="O160" s="12"/>
      <c r="P160" s="12"/>
    </row>
    <row r="161" spans="15:16" x14ac:dyDescent="0.2">
      <c r="O161" s="12"/>
      <c r="P161" s="12"/>
    </row>
    <row r="162" spans="15:16" x14ac:dyDescent="0.2">
      <c r="O162" s="12"/>
      <c r="P162" s="12"/>
    </row>
    <row r="163" spans="15:16" x14ac:dyDescent="0.2">
      <c r="O163" s="12"/>
      <c r="P163" s="12"/>
    </row>
    <row r="164" spans="15:16" x14ac:dyDescent="0.2">
      <c r="O164" s="12"/>
      <c r="P164" s="12"/>
    </row>
    <row r="165" spans="15:16" x14ac:dyDescent="0.2">
      <c r="O165" s="12"/>
      <c r="P165" s="12"/>
    </row>
  </sheetData>
  <mergeCells count="16">
    <mergeCell ref="AJ52:AJ53"/>
    <mergeCell ref="A52:A53"/>
    <mergeCell ref="H52:H53"/>
    <mergeCell ref="O52:O53"/>
    <mergeCell ref="V52:V53"/>
    <mergeCell ref="AC52:AC53"/>
    <mergeCell ref="CG52:CG53"/>
    <mergeCell ref="CN52:CN53"/>
    <mergeCell ref="CU52:CU53"/>
    <mergeCell ref="DB52:DB53"/>
    <mergeCell ref="AQ52:AQ53"/>
    <mergeCell ref="AX52:AX53"/>
    <mergeCell ref="BE52:BE53"/>
    <mergeCell ref="BL52:BL53"/>
    <mergeCell ref="BS52:BS53"/>
    <mergeCell ref="BZ52:BZ53"/>
  </mergeCells>
  <phoneticPr fontId="25" type="noConversion"/>
  <printOptions gridLines="1" gridLinesSet="0"/>
  <pageMargins left="0.78740157480314965" right="0.59055118110236227" top="0.39370078740157483" bottom="0.39370078740157483" header="0.51181102362204722" footer="0.51181102362204722"/>
  <pageSetup paperSize="9" scale="70" orientation="portrait" r:id="rId1"/>
  <headerFooter alignWithMargins="0">
    <oddFooter>&amp;L&amp;6&amp;F&amp;C&amp;6&amp;A &amp;R&amp;6Kontakt: matthias.zuercher@faw.admin.ch</oddFooter>
  </headerFooter>
  <colBreaks count="4" manualBreakCount="4">
    <brk id="7" max="1048575" man="1"/>
    <brk id="14" max="1048575" man="1"/>
    <brk id="21" max="1048575" man="1"/>
    <brk id="4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VarErtragsphase">
    <tabColor rgb="FFFF66CC"/>
  </sheetPr>
  <dimension ref="A1:N178"/>
  <sheetViews>
    <sheetView zoomScale="90" zoomScaleNormal="90" workbookViewId="0">
      <selection activeCell="J8" sqref="J8"/>
    </sheetView>
  </sheetViews>
  <sheetFormatPr baseColWidth="10" defaultColWidth="11.42578125" defaultRowHeight="12.75" x14ac:dyDescent="0.2"/>
  <cols>
    <col min="1" max="1" width="35.140625" customWidth="1"/>
    <col min="2" max="2" width="31.85546875" customWidth="1"/>
    <col min="3" max="3" width="18.7109375" customWidth="1"/>
    <col min="4" max="4" width="13.5703125" customWidth="1"/>
    <col min="5" max="5" width="12.7109375" customWidth="1"/>
    <col min="6" max="6" width="16.28515625" customWidth="1"/>
    <col min="7" max="7" width="13.140625" bestFit="1" customWidth="1"/>
    <col min="8" max="8" width="6.5703125" customWidth="1"/>
    <col min="9" max="9" width="15.5703125" customWidth="1"/>
    <col min="10" max="10" width="17" style="12" customWidth="1"/>
    <col min="11" max="11" width="11.42578125" style="19" customWidth="1"/>
  </cols>
  <sheetData>
    <row r="1" spans="1:10" ht="32.25" customHeight="1" x14ac:dyDescent="0.4">
      <c r="A1" s="346" t="str">
        <f>'Var Vorgaben'!A1</f>
        <v>Arbokost 2024</v>
      </c>
      <c r="B1" s="570" t="str">
        <f>'Var Erstellung'!B1</f>
        <v>Tafelkirsche</v>
      </c>
      <c r="C1" s="336"/>
      <c r="D1" s="336"/>
      <c r="E1" s="333"/>
      <c r="F1" s="569"/>
      <c r="G1" s="328"/>
      <c r="H1" s="69"/>
    </row>
    <row r="2" spans="1:10" ht="21.2" customHeight="1" x14ac:dyDescent="0.25">
      <c r="A2" s="1093" t="str">
        <f>'Var Erstellung'!A2</f>
        <v>Variante  1ha</v>
      </c>
      <c r="B2" s="566">
        <f>'Var Erstellung'!B2</f>
        <v>900</v>
      </c>
      <c r="C2" s="572"/>
      <c r="D2" s="572"/>
      <c r="E2" s="572"/>
      <c r="F2" s="572"/>
      <c r="G2" s="572"/>
      <c r="H2" s="1"/>
      <c r="I2" s="1"/>
    </row>
    <row r="3" spans="1:10" ht="18" customHeight="1" x14ac:dyDescent="0.25">
      <c r="A3" s="616"/>
      <c r="B3" s="566"/>
      <c r="C3" s="572"/>
      <c r="D3" s="572"/>
      <c r="E3" s="572"/>
      <c r="F3" s="328"/>
      <c r="G3" s="328"/>
      <c r="H3" s="1"/>
      <c r="I3" s="1"/>
    </row>
    <row r="4" spans="1:10" ht="21.2" customHeight="1" x14ac:dyDescent="0.25">
      <c r="A4" s="398"/>
      <c r="B4" s="566"/>
      <c r="C4" s="572"/>
      <c r="D4" s="572"/>
      <c r="E4" s="572"/>
      <c r="F4" s="397" t="s">
        <v>126</v>
      </c>
      <c r="G4" s="16"/>
      <c r="H4" s="1"/>
      <c r="I4" s="1"/>
    </row>
    <row r="5" spans="1:10" ht="23.25" x14ac:dyDescent="0.35">
      <c r="A5" s="1099" t="s">
        <v>99</v>
      </c>
      <c r="B5" s="1100" t="s">
        <v>367</v>
      </c>
      <c r="C5" s="1095"/>
      <c r="D5" s="1101"/>
      <c r="E5" s="1102"/>
      <c r="F5" s="1102"/>
      <c r="G5" s="1103"/>
      <c r="H5" s="18"/>
      <c r="I5" s="18"/>
      <c r="J5"/>
    </row>
    <row r="6" spans="1:10" ht="13.5" customHeight="1" x14ac:dyDescent="0.2">
      <c r="C6" s="34" t="s">
        <v>80</v>
      </c>
      <c r="D6" s="34" t="s">
        <v>59</v>
      </c>
      <c r="E6" s="35" t="s">
        <v>248</v>
      </c>
      <c r="F6" s="36" t="s">
        <v>61</v>
      </c>
      <c r="G6" s="726"/>
      <c r="H6" s="18"/>
      <c r="I6" s="18"/>
      <c r="J6"/>
    </row>
    <row r="7" spans="1:10" ht="15.75" x14ac:dyDescent="0.25">
      <c r="A7" s="356" t="s">
        <v>63</v>
      </c>
      <c r="B7" s="104" t="str">
        <f>'Var Vorgaben'!B40</f>
        <v xml:space="preserve"> 22+ mm</v>
      </c>
      <c r="C7" s="113">
        <f>D7/B2</f>
        <v>10.000000000000002</v>
      </c>
      <c r="D7" s="60">
        <f>D9*G7</f>
        <v>9000.0000000000018</v>
      </c>
      <c r="E7" s="58">
        <f>'Var Vorgaben'!B41</f>
        <v>8.1999999999999993</v>
      </c>
      <c r="F7" s="59">
        <f>D7*E7</f>
        <v>73800.000000000015</v>
      </c>
      <c r="G7" s="89">
        <f>'Var Vorgaben'!B81</f>
        <v>0.90000000000000024</v>
      </c>
      <c r="H7" s="18"/>
      <c r="I7" s="18"/>
    </row>
    <row r="8" spans="1:10" ht="13.5" thickBot="1" x14ac:dyDescent="0.25">
      <c r="A8" s="22"/>
      <c r="B8" s="104" t="str">
        <f>'Var Vorgaben'!C40</f>
        <v xml:space="preserve"> Abgang</v>
      </c>
      <c r="C8" s="613">
        <f>D8/B2</f>
        <v>1.1111111111111109</v>
      </c>
      <c r="D8" s="708">
        <f>D9*G8</f>
        <v>999.99999999999989</v>
      </c>
      <c r="E8" s="709">
        <f>'Var Vorgaben'!C41</f>
        <v>0</v>
      </c>
      <c r="F8" s="198">
        <f>D8*E8</f>
        <v>0</v>
      </c>
      <c r="G8" s="89">
        <f>'Var Vorgaben'!C81</f>
        <v>9.9999999999999992E-2</v>
      </c>
      <c r="H8" s="18"/>
      <c r="I8" s="18"/>
    </row>
    <row r="9" spans="1:10" ht="16.5" customHeight="1" x14ac:dyDescent="0.25">
      <c r="A9" s="274" t="s">
        <v>61</v>
      </c>
      <c r="B9" s="121"/>
      <c r="C9" s="87">
        <f>SUM(C7:C8)</f>
        <v>11.111111111111112</v>
      </c>
      <c r="D9" s="87">
        <f>Eingabeseite!D12</f>
        <v>10000</v>
      </c>
      <c r="E9" s="88">
        <f>(E7*G7)+(E8*G8)</f>
        <v>7.3800000000000017</v>
      </c>
      <c r="F9" s="115">
        <f>D9*E9</f>
        <v>73800.000000000015</v>
      </c>
      <c r="G9" s="190">
        <f>SUM(G7:G8)</f>
        <v>1.0000000000000002</v>
      </c>
      <c r="H9" s="18"/>
      <c r="I9" s="18"/>
    </row>
    <row r="10" spans="1:10" ht="18" customHeight="1" x14ac:dyDescent="0.25">
      <c r="A10" s="274" t="str">
        <f>'Var Vorgaben'!A34</f>
        <v>Direktzahlungen Bio</v>
      </c>
      <c r="B10" s="121"/>
      <c r="C10" s="86"/>
      <c r="D10" s="87"/>
      <c r="E10" s="88"/>
      <c r="F10" s="287">
        <f>'Var Vorgaben'!C34</f>
        <v>2700</v>
      </c>
      <c r="G10" s="89"/>
      <c r="H10" s="24"/>
      <c r="I10" s="18"/>
    </row>
    <row r="11" spans="1:10" ht="15.75" customHeight="1" thickBot="1" x14ac:dyDescent="0.3">
      <c r="A11" s="540" t="s">
        <v>98</v>
      </c>
      <c r="B11" s="541"/>
      <c r="C11" s="541"/>
      <c r="D11" s="541"/>
      <c r="E11" s="541"/>
      <c r="F11" s="542">
        <f>SUM(F9:F10)</f>
        <v>76500.000000000015</v>
      </c>
      <c r="G11" s="435"/>
      <c r="H11" s="18"/>
      <c r="I11" s="18"/>
    </row>
    <row r="12" spans="1:10" x14ac:dyDescent="0.2">
      <c r="A12" s="4"/>
      <c r="B12" s="4"/>
      <c r="C12" s="34" t="s">
        <v>18</v>
      </c>
      <c r="D12" s="34" t="s">
        <v>178</v>
      </c>
      <c r="E12" s="35" t="s">
        <v>60</v>
      </c>
      <c r="F12" s="41" t="s">
        <v>20</v>
      </c>
      <c r="G12" s="726" t="s">
        <v>62</v>
      </c>
      <c r="H12" s="18"/>
      <c r="I12" s="18"/>
    </row>
    <row r="13" spans="1:10" ht="15.75" x14ac:dyDescent="0.25">
      <c r="A13" s="2" t="s">
        <v>33</v>
      </c>
      <c r="B13" s="20" t="str">
        <f>'Var Vorgaben'!B95</f>
        <v>Biorga N (12 %)</v>
      </c>
      <c r="C13" s="68">
        <f>'Var Vorgaben'!B107</f>
        <v>1</v>
      </c>
      <c r="D13" s="12">
        <f>'Var Vorgaben'!B106</f>
        <v>500</v>
      </c>
      <c r="E13" s="30">
        <f>'Var Vorgaben'!B96*(1+Eingabeseite!$C$28)</f>
        <v>1.22</v>
      </c>
      <c r="F13" s="31">
        <f>D13*E13</f>
        <v>610</v>
      </c>
      <c r="G13" s="699">
        <f>F13/$F$73</f>
        <v>7.9844331085087636E-3</v>
      </c>
      <c r="H13" s="18"/>
      <c r="I13" s="18"/>
    </row>
    <row r="14" spans="1:10" x14ac:dyDescent="0.2">
      <c r="A14" s="3"/>
      <c r="B14" s="20" t="str">
        <f>'Var Vorgaben'!C95</f>
        <v>Mist 
(Frischsubstanz)</v>
      </c>
      <c r="C14" s="1358">
        <f>'Var Vorgaben'!C107/3*2</f>
        <v>9.3333333333333339</v>
      </c>
      <c r="D14" s="147">
        <f>'Var Vorgaben'!C106/3*2</f>
        <v>13333.333333333334</v>
      </c>
      <c r="E14" s="148">
        <f>'Var Vorgaben'!C96*(1+Eingabeseite!$C$28)</f>
        <v>0.02</v>
      </c>
      <c r="F14" s="38">
        <f>D14*E14</f>
        <v>266.66666666666669</v>
      </c>
      <c r="G14" s="699">
        <f>F14/$F$73</f>
        <v>3.490462561096727E-3</v>
      </c>
      <c r="H14" s="18"/>
      <c r="I14" s="18"/>
    </row>
    <row r="15" spans="1:10" ht="13.5" thickBot="1" x14ac:dyDescent="0.25">
      <c r="A15" s="3"/>
      <c r="B15" s="20" t="str">
        <f>'Var Vorgaben'!D95</f>
        <v>Kompost (Trockensubstanz)</v>
      </c>
      <c r="C15" s="1250">
        <f>'Var Vorgaben'!D107/3</f>
        <v>11</v>
      </c>
      <c r="D15" s="147">
        <f>'Var Vorgaben'!D106/3</f>
        <v>8333.3333333333339</v>
      </c>
      <c r="E15" s="148">
        <f>'Var Vorgaben'!D96*(1+Eingabeseite!$C$28)</f>
        <v>0.02</v>
      </c>
      <c r="F15" s="610">
        <f>D15*E15</f>
        <v>166.66666666666669</v>
      </c>
      <c r="G15" s="699">
        <f>F15/$F$73</f>
        <v>2.1815391006854545E-3</v>
      </c>
      <c r="H15" s="18"/>
      <c r="I15" s="18"/>
    </row>
    <row r="16" spans="1:10" x14ac:dyDescent="0.2">
      <c r="A16" s="429"/>
      <c r="B16" s="20"/>
      <c r="C16" s="1268">
        <f>SUM(C13:C15)</f>
        <v>21.333333333333336</v>
      </c>
      <c r="D16" s="12"/>
      <c r="E16" s="30"/>
      <c r="F16" s="33">
        <f>SUM(F13:F15)</f>
        <v>1043.3333333333335</v>
      </c>
      <c r="G16" s="1314">
        <f>F16/$F$73</f>
        <v>1.3656434770290946E-2</v>
      </c>
      <c r="H16" s="18"/>
      <c r="I16" s="18"/>
    </row>
    <row r="17" spans="1:11" x14ac:dyDescent="0.2">
      <c r="A17" s="429"/>
      <c r="B17" s="20"/>
      <c r="C17" s="1268"/>
      <c r="D17" s="12"/>
      <c r="E17" s="30"/>
      <c r="F17" s="33"/>
      <c r="G17" s="699"/>
      <c r="H17" s="18"/>
      <c r="I17" s="18"/>
    </row>
    <row r="18" spans="1:11" ht="15.75" x14ac:dyDescent="0.25">
      <c r="A18" s="366" t="str">
        <f>'Standard Vorgaben'!$A$126</f>
        <v>Fungzide</v>
      </c>
      <c r="C18" s="12"/>
      <c r="D18" s="12"/>
      <c r="E18" s="31"/>
      <c r="F18" s="31">
        <f>'Var Vorgaben'!$G$140*(1+Eingabeseite!$C$26)</f>
        <v>114.54000000000002</v>
      </c>
      <c r="G18" s="699">
        <f>F18/$F$73</f>
        <v>1.4992409315550718E-3</v>
      </c>
      <c r="H18" s="18"/>
      <c r="I18" s="18"/>
    </row>
    <row r="19" spans="1:11" ht="15.75" x14ac:dyDescent="0.25">
      <c r="A19" s="366" t="str">
        <f>'Standard Vorgaben'!$A$129</f>
        <v>Insektizide</v>
      </c>
      <c r="C19" s="12"/>
      <c r="D19" s="12"/>
      <c r="E19" s="31"/>
      <c r="F19" s="31">
        <f>'Var Vorgaben'!$G$142*(1+Eingabeseite!$C$26)</f>
        <v>1745.7599999999998</v>
      </c>
      <c r="G19" s="699">
        <f>F19/$F$73</f>
        <v>2.2850662202475829E-2</v>
      </c>
      <c r="H19" s="100"/>
      <c r="I19" s="18"/>
    </row>
    <row r="20" spans="1:11" ht="16.5" thickBot="1" x14ac:dyDescent="0.3">
      <c r="A20" s="366" t="str">
        <f>'Standard Vorgaben'!$A$133</f>
        <v>Blattdüngung</v>
      </c>
      <c r="C20" s="12"/>
      <c r="D20" s="615"/>
      <c r="E20" s="47"/>
      <c r="F20" s="610">
        <f>'Var Vorgaben'!$G$143*(1+Eingabeseite!$C$26)</f>
        <v>0</v>
      </c>
      <c r="G20" s="699">
        <f>F20/$F$73</f>
        <v>0</v>
      </c>
      <c r="H20" s="18"/>
      <c r="I20" s="18"/>
    </row>
    <row r="21" spans="1:11" x14ac:dyDescent="0.2">
      <c r="A21" s="224"/>
      <c r="B21" s="226"/>
      <c r="C21" s="12"/>
      <c r="D21" s="12"/>
      <c r="E21" s="30"/>
      <c r="F21" s="240">
        <f>SUM(F18:F20)</f>
        <v>1860.2999999999997</v>
      </c>
      <c r="G21" s="1314">
        <f>F21/$F$73</f>
        <v>2.43499031340309E-2</v>
      </c>
      <c r="H21" s="18"/>
      <c r="I21" s="18"/>
    </row>
    <row r="22" spans="1:11" x14ac:dyDescent="0.2">
      <c r="A22" s="224"/>
      <c r="B22" s="226"/>
      <c r="C22" s="12"/>
      <c r="D22" s="12"/>
      <c r="E22" s="30"/>
      <c r="F22" s="240"/>
      <c r="G22" s="699"/>
      <c r="H22" s="18"/>
      <c r="I22" s="18"/>
    </row>
    <row r="23" spans="1:11" ht="15.75" x14ac:dyDescent="0.25">
      <c r="A23" s="2" t="s">
        <v>170</v>
      </c>
      <c r="B23" s="1309"/>
      <c r="C23" s="105"/>
      <c r="D23" s="1309"/>
      <c r="E23" s="238"/>
      <c r="F23" s="79">
        <f>'Var Vorgaben'!E186</f>
        <v>400</v>
      </c>
      <c r="G23" s="1314">
        <f>F23/$F$73</f>
        <v>5.23569384164509E-3</v>
      </c>
      <c r="H23" s="18"/>
      <c r="I23" s="18"/>
    </row>
    <row r="24" spans="1:11" ht="15.75" x14ac:dyDescent="0.25">
      <c r="A24" s="2"/>
      <c r="B24" s="1309"/>
      <c r="C24" s="105"/>
      <c r="D24" s="1309"/>
      <c r="E24" s="238"/>
      <c r="F24" s="79"/>
      <c r="G24" s="699"/>
      <c r="H24" s="18"/>
      <c r="I24" s="18"/>
    </row>
    <row r="25" spans="1:11" ht="15.75" x14ac:dyDescent="0.25">
      <c r="A25" s="366" t="s">
        <v>488</v>
      </c>
      <c r="B25" s="1" t="str">
        <f>'Var Vorgaben'!F33</f>
        <v>Tafelkirschen</v>
      </c>
      <c r="C25" s="4" t="s">
        <v>177</v>
      </c>
      <c r="D25" s="45"/>
      <c r="E25" s="61"/>
      <c r="F25" s="1108">
        <f>'Var Vorgaben'!G33</f>
        <v>325</v>
      </c>
      <c r="G25" s="1315">
        <f t="shared" ref="G25:G32" si="0">F25/$F$73</f>
        <v>4.2540012463366363E-3</v>
      </c>
      <c r="H25" s="18"/>
      <c r="I25" s="18"/>
    </row>
    <row r="26" spans="1:11" x14ac:dyDescent="0.2">
      <c r="A26" s="17"/>
      <c r="B26" s="1" t="str">
        <f>'Var Vorgaben'!F34</f>
        <v>Brennkirschen</v>
      </c>
      <c r="C26" s="4" t="s">
        <v>65</v>
      </c>
      <c r="D26" s="45"/>
      <c r="E26" s="61">
        <f>'Var Vorgaben'!G34</f>
        <v>2.57</v>
      </c>
      <c r="F26" s="261">
        <f>E26*D8*0.75/100</f>
        <v>19.274999999999995</v>
      </c>
      <c r="G26" s="699">
        <f t="shared" si="0"/>
        <v>2.5229499699427275E-4</v>
      </c>
      <c r="H26" s="18"/>
    </row>
    <row r="27" spans="1:11" ht="13.5" customHeight="1" thickBot="1" x14ac:dyDescent="0.25">
      <c r="A27" s="17"/>
      <c r="B27" s="1" t="str">
        <f>'Var Vorgaben'!$F$35</f>
        <v>Abzug</v>
      </c>
      <c r="C27" s="4" t="s">
        <v>460</v>
      </c>
      <c r="D27" s="45"/>
      <c r="E27" s="61">
        <f>'Var Vorgaben'!$G$35</f>
        <v>0.25</v>
      </c>
      <c r="F27" s="607">
        <f>D9*E27</f>
        <v>2500</v>
      </c>
      <c r="G27" s="699">
        <f t="shared" si="0"/>
        <v>3.2723086510281815E-2</v>
      </c>
      <c r="H27" s="18"/>
      <c r="I27" s="18"/>
    </row>
    <row r="28" spans="1:11" ht="13.5" customHeight="1" x14ac:dyDescent="0.2">
      <c r="A28" s="144"/>
      <c r="C28" s="1"/>
      <c r="D28" s="1"/>
      <c r="E28" s="61"/>
      <c r="F28" s="79">
        <f>SUM(F25:F27)</f>
        <v>2844.2750000000001</v>
      </c>
      <c r="G28" s="1314">
        <f t="shared" si="0"/>
        <v>3.7229382753612726E-2</v>
      </c>
      <c r="H28" s="18"/>
      <c r="I28" s="18"/>
    </row>
    <row r="29" spans="1:11" ht="56.25" customHeight="1" x14ac:dyDescent="0.2">
      <c r="A29" s="414" t="s">
        <v>535</v>
      </c>
      <c r="B29" s="239" t="s">
        <v>348</v>
      </c>
      <c r="C29" s="199">
        <f>'Var 1.-16. Standjahr'!AA78</f>
        <v>188625.62539126823</v>
      </c>
      <c r="D29" s="260">
        <f>'Var Vorgaben'!$B$24</f>
        <v>12</v>
      </c>
      <c r="E29" s="116"/>
      <c r="F29" s="116">
        <f>C29/D29</f>
        <v>15718.802115939019</v>
      </c>
      <c r="G29" s="699">
        <f t="shared" si="0"/>
        <v>0.20574708859114935</v>
      </c>
      <c r="H29" s="18"/>
      <c r="I29" s="18"/>
    </row>
    <row r="30" spans="1:11" s="1" customFormat="1" x14ac:dyDescent="0.2">
      <c r="B30" s="97" t="s">
        <v>229</v>
      </c>
      <c r="C30" s="55">
        <f>'Var Erstellung'!F165</f>
        <v>46606.812899999997</v>
      </c>
      <c r="D30" s="1362">
        <f>'Var Vorgaben'!$B$24</f>
        <v>12</v>
      </c>
      <c r="E30" s="1147"/>
      <c r="F30" s="261">
        <f>C30/D30</f>
        <v>3883.9010749999998</v>
      </c>
      <c r="G30" s="699">
        <f t="shared" si="0"/>
        <v>5.0837292349840614E-2</v>
      </c>
      <c r="H30" s="52"/>
      <c r="I30" s="24"/>
      <c r="J30" s="45"/>
      <c r="K30" s="182"/>
    </row>
    <row r="31" spans="1:11" s="1" customFormat="1" ht="13.5" thickBot="1" x14ac:dyDescent="0.25">
      <c r="B31" s="4" t="s">
        <v>536</v>
      </c>
      <c r="C31" s="812">
        <f>'Var Erstellung'!F183</f>
        <v>5397.51</v>
      </c>
      <c r="D31" s="1362">
        <f>'Var Vorgaben'!$B$24</f>
        <v>12</v>
      </c>
      <c r="E31" s="1147"/>
      <c r="F31" s="607">
        <f>C31/D31</f>
        <v>449.79250000000002</v>
      </c>
      <c r="G31" s="699">
        <f t="shared" si="0"/>
        <v>5.8874395556703738E-3</v>
      </c>
      <c r="H31" s="24"/>
      <c r="I31" s="24"/>
      <c r="J31" s="45"/>
      <c r="K31" s="182"/>
    </row>
    <row r="32" spans="1:11" s="1" customFormat="1" x14ac:dyDescent="0.2">
      <c r="B32" s="97"/>
      <c r="C32" s="199">
        <f>SUM(C29:C31)</f>
        <v>240629.94829126823</v>
      </c>
      <c r="D32" s="260"/>
      <c r="E32" s="261"/>
      <c r="F32" s="199">
        <f>SUM(F29:F31)</f>
        <v>20052.49569093902</v>
      </c>
      <c r="G32" s="1314">
        <f t="shared" si="0"/>
        <v>0.26247182049666035</v>
      </c>
      <c r="H32" s="24"/>
      <c r="I32" s="24"/>
      <c r="J32" s="45"/>
      <c r="K32" s="182"/>
    </row>
    <row r="33" spans="1:11" s="1" customFormat="1" x14ac:dyDescent="0.2">
      <c r="B33" s="97"/>
      <c r="C33" s="199"/>
      <c r="D33" s="260"/>
      <c r="E33" s="261"/>
      <c r="F33" s="199"/>
      <c r="G33" s="1314"/>
      <c r="H33" s="24"/>
      <c r="I33" s="24"/>
      <c r="J33" s="45"/>
      <c r="K33" s="182"/>
    </row>
    <row r="34" spans="1:11" ht="15.75" x14ac:dyDescent="0.25">
      <c r="A34" s="366" t="s">
        <v>368</v>
      </c>
      <c r="B34" s="416">
        <f>'Var Vorgaben'!$C$183</f>
        <v>1701</v>
      </c>
      <c r="C34" s="417">
        <f>'Var Vorgaben'!$D$183*(1+Eingabeseite!$C$34)</f>
        <v>1.5</v>
      </c>
      <c r="D34" s="105" t="s">
        <v>209</v>
      </c>
      <c r="E34" s="61">
        <f>'Var Vorgaben'!$E$184</f>
        <v>0</v>
      </c>
      <c r="F34" s="117">
        <f>(B34*C34)+E34</f>
        <v>2551.5</v>
      </c>
      <c r="G34" s="727">
        <f>F34/$F$73</f>
        <v>3.3397182092393618E-2</v>
      </c>
      <c r="H34" s="18"/>
      <c r="I34" s="18"/>
    </row>
    <row r="35" spans="1:11" s="76" customFormat="1" ht="16.5" customHeight="1" x14ac:dyDescent="0.25">
      <c r="A35" s="415" t="s">
        <v>570</v>
      </c>
      <c r="B35" s="78"/>
      <c r="C35" s="399"/>
      <c r="D35" s="154"/>
      <c r="E35" s="698">
        <f>(PMT('Var Vorgaben'!C35,'Var Vorgaben'!B24,,'Var Vorgaben'!C33))*(-1)</f>
        <v>460.07995743737365</v>
      </c>
      <c r="F35" s="1124">
        <f>600+E35</f>
        <v>1060.0799574373737</v>
      </c>
      <c r="G35" s="727">
        <f>F35/$F$73</f>
        <v>1.3875635262015617E-2</v>
      </c>
      <c r="H35" s="728"/>
      <c r="I35" s="728"/>
      <c r="J35" s="178"/>
      <c r="K35" s="183"/>
    </row>
    <row r="36" spans="1:11" s="76" customFormat="1" ht="16.5" customHeight="1" thickBot="1" x14ac:dyDescent="0.3">
      <c r="A36" s="415" t="str">
        <f>'Var Vorgaben'!A192</f>
        <v>Frostbekämpfung - Forstversicherung</v>
      </c>
      <c r="B36" s="78"/>
      <c r="C36" s="399"/>
      <c r="D36" s="154"/>
      <c r="E36" s="698"/>
      <c r="F36" s="1124">
        <f>'Var Vorgaben'!B192</f>
        <v>5000</v>
      </c>
      <c r="G36" s="727">
        <f>F36/$F$73</f>
        <v>6.5446173020563631E-2</v>
      </c>
      <c r="H36" s="728"/>
      <c r="I36" s="728"/>
      <c r="J36" s="178"/>
      <c r="K36" s="183"/>
    </row>
    <row r="37" spans="1:11" ht="18.75" customHeight="1" thickBot="1" x14ac:dyDescent="0.3">
      <c r="A37" s="446" t="s">
        <v>326</v>
      </c>
      <c r="B37" s="432"/>
      <c r="C37" s="546"/>
      <c r="D37" s="546"/>
      <c r="E37" s="433"/>
      <c r="F37" s="544">
        <f>F16+F21+F23+F28+F32+F34+F35+F36</f>
        <v>34811.983981709724</v>
      </c>
      <c r="G37" s="729">
        <f>F37/$F$73</f>
        <v>0.45566222537121281</v>
      </c>
      <c r="H37" s="18"/>
      <c r="I37" s="18"/>
    </row>
    <row r="38" spans="1:11" ht="24" customHeight="1" x14ac:dyDescent="0.25">
      <c r="A38" s="366" t="s">
        <v>196</v>
      </c>
      <c r="C38" s="109" t="s">
        <v>66</v>
      </c>
      <c r="D38" s="145">
        <v>30</v>
      </c>
      <c r="E38" s="61">
        <v>15</v>
      </c>
      <c r="F38" s="418">
        <f>D38*E38</f>
        <v>450</v>
      </c>
      <c r="G38" s="727">
        <f>F38/$F$73</f>
        <v>5.8901555718507267E-3</v>
      </c>
      <c r="H38" s="18"/>
      <c r="J38" s="275" t="s">
        <v>141</v>
      </c>
    </row>
    <row r="39" spans="1:11" ht="18" customHeight="1" x14ac:dyDescent="0.2">
      <c r="C39" s="48" t="s">
        <v>18</v>
      </c>
      <c r="D39" s="119" t="s">
        <v>127</v>
      </c>
      <c r="E39" s="10" t="s">
        <v>130</v>
      </c>
      <c r="F39" s="120" t="s">
        <v>26</v>
      </c>
      <c r="G39" s="699"/>
      <c r="H39" s="18"/>
      <c r="J39" s="48" t="s">
        <v>556</v>
      </c>
      <c r="K39" s="184" t="s">
        <v>105</v>
      </c>
    </row>
    <row r="40" spans="1:11" ht="15.75" x14ac:dyDescent="0.25">
      <c r="A40" s="366" t="s">
        <v>119</v>
      </c>
      <c r="B40" s="20" t="str">
        <f>'Var Vorgaben'!B159</f>
        <v>Anbaugebläsepritze 1000 l</v>
      </c>
      <c r="C40" s="535">
        <f>'Var Vorgaben'!B145</f>
        <v>5</v>
      </c>
      <c r="D40" s="46">
        <f>'Var Vorgaben'!C159</f>
        <v>1</v>
      </c>
      <c r="E40" s="61">
        <f>'Var Vorgaben'!D159*(1+Eingabeseite!$C$24)</f>
        <v>37</v>
      </c>
      <c r="F40" s="1266">
        <f>C40*E40</f>
        <v>185</v>
      </c>
      <c r="G40" s="699">
        <f t="shared" ref="G40:G55" si="1">F40/$F$73</f>
        <v>2.4215084017608544E-3</v>
      </c>
      <c r="H40" s="18"/>
      <c r="J40" s="324">
        <f>'Standard Vorgaben'!H159</f>
        <v>11.67</v>
      </c>
      <c r="K40" s="19">
        <f>C40*J40</f>
        <v>58.35</v>
      </c>
    </row>
    <row r="41" spans="1:11" x14ac:dyDescent="0.2">
      <c r="A41" s="17"/>
      <c r="B41" s="20" t="str">
        <f>'Var Vorgaben'!B161</f>
        <v>Düngerstreuer Einkasten 2.5 m</v>
      </c>
      <c r="C41" s="351">
        <f>C13</f>
        <v>1</v>
      </c>
      <c r="D41" s="46">
        <f>'Var Vorgaben'!C161</f>
        <v>1</v>
      </c>
      <c r="E41" s="61">
        <f>'Var Vorgaben'!D161*(1+Eingabeseite!$C$24)</f>
        <v>18</v>
      </c>
      <c r="F41" s="1266">
        <f>C41*E41</f>
        <v>18</v>
      </c>
      <c r="G41" s="699">
        <f t="shared" si="1"/>
        <v>2.3560622287402907E-4</v>
      </c>
      <c r="H41" s="18"/>
      <c r="J41" s="324">
        <f>'Standard Vorgaben'!H161</f>
        <v>7.03</v>
      </c>
      <c r="K41" s="19">
        <f>C41*J41</f>
        <v>7.03</v>
      </c>
    </row>
    <row r="42" spans="1:11" x14ac:dyDescent="0.2">
      <c r="A42" s="17"/>
      <c r="B42" s="20" t="str">
        <f>'Var Vorgaben'!B162</f>
        <v>Kompoststreuer für Obstanlagen, um 3m³</v>
      </c>
      <c r="C42" s="535">
        <f>C14+C15</f>
        <v>20.333333333333336</v>
      </c>
      <c r="D42" s="46">
        <f>'Var Vorgaben'!C162</f>
        <v>0.38461538461538458</v>
      </c>
      <c r="E42" s="61">
        <f>'Var Vorgaben'!D162*(1+Eingabeseite!$C$24)</f>
        <v>44</v>
      </c>
      <c r="F42" s="1266">
        <f>C42*E42</f>
        <v>894.66666666666674</v>
      </c>
      <c r="G42" s="699">
        <f t="shared" si="1"/>
        <v>1.1710501892479519E-2</v>
      </c>
      <c r="H42" s="18"/>
      <c r="J42" s="324">
        <f>'Standard Vorgaben'!H162</f>
        <v>11.37</v>
      </c>
      <c r="K42" s="19">
        <f>C42*J42</f>
        <v>231.19</v>
      </c>
    </row>
    <row r="43" spans="1:11" x14ac:dyDescent="0.2">
      <c r="A43" s="17"/>
      <c r="B43" s="4" t="str">
        <f>'Var Vorgaben'!B163</f>
        <v>Hackgerät Ladurner, einseitig</v>
      </c>
      <c r="C43" s="351">
        <f>'Var Vorgaben'!B146</f>
        <v>3</v>
      </c>
      <c r="D43" s="46">
        <f>'Var Vorgaben'!C163</f>
        <v>2</v>
      </c>
      <c r="E43" s="61">
        <f>'Var Vorgaben'!D163*(1+Eingabeseite!$C$24)</f>
        <v>130</v>
      </c>
      <c r="F43" s="1266">
        <f>C43*E43</f>
        <v>390</v>
      </c>
      <c r="G43" s="699">
        <f t="shared" si="1"/>
        <v>5.1048014956039632E-3</v>
      </c>
      <c r="H43" s="18"/>
      <c r="J43" s="324">
        <f>'Standard Vorgaben'!H163</f>
        <v>21.94</v>
      </c>
      <c r="K43" s="19">
        <f>C43*J43</f>
        <v>65.820000000000007</v>
      </c>
    </row>
    <row r="44" spans="1:11" x14ac:dyDescent="0.2">
      <c r="A44" s="17"/>
      <c r="B44" s="20" t="str">
        <f>'Var Vorgaben'!B164</f>
        <v>Fadengerät gegen Unkraut, einseitig</v>
      </c>
      <c r="C44" s="351">
        <f>'Var Vorgaben'!B147</f>
        <v>4</v>
      </c>
      <c r="D44" s="46">
        <f>'Var Vorgaben'!C164</f>
        <v>1</v>
      </c>
      <c r="E44" s="61">
        <f>'Var Vorgaben'!D164*(1+Eingabeseite!$C$24)</f>
        <v>38</v>
      </c>
      <c r="F44" s="1266">
        <f>C44*E44</f>
        <v>152</v>
      </c>
      <c r="G44" s="699">
        <f t="shared" si="1"/>
        <v>1.9895636598251344E-3</v>
      </c>
      <c r="H44" s="18"/>
      <c r="J44" s="324">
        <f>'Standard Vorgaben'!H164</f>
        <v>8.75</v>
      </c>
      <c r="K44" s="19">
        <f>C44*J44</f>
        <v>35</v>
      </c>
    </row>
    <row r="45" spans="1:11" x14ac:dyDescent="0.2">
      <c r="A45" s="17"/>
      <c r="B45" s="20" t="str">
        <f>'Var Vorgaben'!B165</f>
        <v>Pneuwagen 2achsig, 3t (Ernte)</v>
      </c>
      <c r="C45" s="401">
        <f>'Var Vorgaben'!C165</f>
        <v>0.1</v>
      </c>
      <c r="D45" s="46">
        <f>C45*C46</f>
        <v>83.333333333333343</v>
      </c>
      <c r="E45" s="61">
        <f>'Var Vorgaben'!D165*(1+Eingabeseite!$C$24)</f>
        <v>25</v>
      </c>
      <c r="F45" s="1266">
        <f>D45*E45</f>
        <v>2083.3333333333335</v>
      </c>
      <c r="G45" s="699">
        <f t="shared" si="1"/>
        <v>2.7269238758568182E-2</v>
      </c>
      <c r="H45" s="18"/>
      <c r="J45" s="324">
        <f>'Standard Vorgaben'!H165</f>
        <v>1.53</v>
      </c>
      <c r="K45" s="19">
        <f>D45*J45</f>
        <v>127.50000000000001</v>
      </c>
    </row>
    <row r="46" spans="1:11" x14ac:dyDescent="0.2">
      <c r="A46" s="17"/>
      <c r="B46" s="228" t="s">
        <v>208</v>
      </c>
      <c r="C46" s="400">
        <f>D62</f>
        <v>833.33333333333337</v>
      </c>
      <c r="D46" s="1"/>
      <c r="E46" s="227"/>
      <c r="F46" s="1266"/>
      <c r="G46" s="699"/>
      <c r="H46" s="18"/>
      <c r="J46" s="45"/>
    </row>
    <row r="47" spans="1:11" x14ac:dyDescent="0.2">
      <c r="A47" s="17"/>
      <c r="B47" s="20" t="str">
        <f>'Var Vorgaben'!B166</f>
        <v>Mulchgerät mit Schwenkarm, 2.8m</v>
      </c>
      <c r="C47" s="45">
        <f>'Var Vorgaben'!E166</f>
        <v>6</v>
      </c>
      <c r="D47" s="50">
        <f>'Var Vorgaben'!C166</f>
        <v>0.5</v>
      </c>
      <c r="E47" s="61">
        <f>'Var Vorgaben'!D166*(1+Eingabeseite!$C$24)</f>
        <v>42</v>
      </c>
      <c r="F47" s="1266">
        <f>C47*E47</f>
        <v>252</v>
      </c>
      <c r="G47" s="699">
        <f t="shared" si="1"/>
        <v>3.2984871202364069E-3</v>
      </c>
      <c r="H47" s="18"/>
      <c r="J47" s="324">
        <f>'Standard Vorgaben'!H166</f>
        <v>14.5</v>
      </c>
      <c r="K47" s="19">
        <f>C47*J47</f>
        <v>87</v>
      </c>
    </row>
    <row r="48" spans="1:11" x14ac:dyDescent="0.2">
      <c r="A48" s="17"/>
      <c r="B48" s="4" t="s">
        <v>467</v>
      </c>
      <c r="C48" s="45"/>
      <c r="D48" s="50">
        <f>'Var Vorgaben'!C168</f>
        <v>100</v>
      </c>
      <c r="E48" s="61">
        <f>'Var Vorgaben'!$I$168*(1+Eingabeseite!$C$24)</f>
        <v>17.5</v>
      </c>
      <c r="F48" s="1266">
        <f>D48*E48</f>
        <v>1750</v>
      </c>
      <c r="G48" s="699">
        <f t="shared" si="1"/>
        <v>2.2906160557197269E-2</v>
      </c>
      <c r="H48" s="18"/>
      <c r="J48" s="324">
        <f>'Standard Vorgaben'!H168</f>
        <v>3.98</v>
      </c>
      <c r="K48" s="19">
        <f>D48*J48</f>
        <v>398</v>
      </c>
    </row>
    <row r="49" spans="1:11" ht="13.5" thickBot="1" x14ac:dyDescent="0.25">
      <c r="A49" s="17"/>
      <c r="B49" s="20" t="str">
        <f>'Var Vorgaben'!B167</f>
        <v>Schnittholzhacker</v>
      </c>
      <c r="C49" s="57">
        <f>'Var Vorgaben'!E167</f>
        <v>1</v>
      </c>
      <c r="D49" s="402">
        <f>'Var Vorgaben'!C167</f>
        <v>3</v>
      </c>
      <c r="E49" s="61">
        <f>'Var Vorgaben'!D167*(1+Eingabeseite!$C$24)</f>
        <v>68.3</v>
      </c>
      <c r="F49" s="812">
        <f>E49*C49</f>
        <v>68.3</v>
      </c>
      <c r="G49" s="699">
        <f t="shared" si="1"/>
        <v>8.939947234608991E-4</v>
      </c>
      <c r="H49" s="18"/>
      <c r="J49" s="324">
        <f>'Standard Vorgaben'!H167</f>
        <v>29.05</v>
      </c>
      <c r="K49" s="19">
        <f>C49*J49</f>
        <v>29.05</v>
      </c>
    </row>
    <row r="50" spans="1:11" x14ac:dyDescent="0.2">
      <c r="A50" s="17"/>
      <c r="B50" s="20" t="s">
        <v>131</v>
      </c>
      <c r="C50" s="45"/>
      <c r="D50" s="412">
        <f>(C40*D40)+(C41*D41)+C42*D42+C43*D43+C44*D44+(D45)+(C47*D47)+(C49*D49)</f>
        <v>113.15384615384616</v>
      </c>
      <c r="E50" s="61"/>
      <c r="F50" s="79">
        <f>SUM(F40:F49)</f>
        <v>5793.3</v>
      </c>
      <c r="G50" s="699">
        <f t="shared" si="1"/>
        <v>7.5829862832006253E-2</v>
      </c>
      <c r="H50" s="18"/>
      <c r="J50" s="324"/>
    </row>
    <row r="51" spans="1:11" x14ac:dyDescent="0.2">
      <c r="A51" s="153"/>
      <c r="B51" s="62" t="str">
        <f>'Var Vorgaben'!B155</f>
        <v>Obstbautraktor 4-Rad</v>
      </c>
      <c r="C51" s="45"/>
      <c r="D51" s="413">
        <f>D50</f>
        <v>113.15384615384616</v>
      </c>
      <c r="E51" s="61">
        <f>'Var Vorgaben'!D155*(1+Eingabeseite!$C$24)</f>
        <v>41</v>
      </c>
      <c r="F51" s="79">
        <f>D51*E51</f>
        <v>4639.3076923076924</v>
      </c>
      <c r="G51" s="699">
        <f t="shared" si="1"/>
        <v>6.0724986785280204E-2</v>
      </c>
      <c r="H51" s="700">
        <f>D45</f>
        <v>83.333333333333343</v>
      </c>
      <c r="I51" t="s">
        <v>132</v>
      </c>
      <c r="J51" s="701">
        <f>'Standard Vorgaben'!H173</f>
        <v>20</v>
      </c>
      <c r="K51" s="147">
        <f>D51*J51</f>
        <v>2263.0769230769233</v>
      </c>
    </row>
    <row r="52" spans="1:11" x14ac:dyDescent="0.2">
      <c r="A52" s="1396" t="s">
        <v>513</v>
      </c>
      <c r="B52" s="20" t="str">
        <f>'Var Vorgaben'!B155</f>
        <v>Obstbautraktor 4-Rad</v>
      </c>
      <c r="C52" s="45">
        <f>'Var Vorgaben'!C195</f>
        <v>0</v>
      </c>
      <c r="D52" s="1218">
        <v>10</v>
      </c>
      <c r="E52" s="61">
        <f>'Var Vorgaben'!D155*(1+Eingabeseite!$C$24)</f>
        <v>41</v>
      </c>
      <c r="F52" s="79">
        <f>C52*D52*E52</f>
        <v>0</v>
      </c>
      <c r="G52" s="699">
        <f t="shared" si="1"/>
        <v>0</v>
      </c>
      <c r="H52" s="700"/>
      <c r="J52" s="701"/>
      <c r="K52" s="147"/>
    </row>
    <row r="53" spans="1:11" x14ac:dyDescent="0.2">
      <c r="A53" s="1396"/>
      <c r="B53" s="20" t="str">
        <f>'Var Vorgaben'!B168</f>
        <v>Hebebühne schwer, selbstfahrend, elektrisch</v>
      </c>
      <c r="C53" s="45">
        <f>'Var Vorgaben'!C195</f>
        <v>0</v>
      </c>
      <c r="D53" s="1218">
        <v>10</v>
      </c>
      <c r="E53" s="61">
        <f>'Var Vorgaben'!D168*(1+Eingabeseite!$C$24)</f>
        <v>17.5</v>
      </c>
      <c r="F53" s="79">
        <f>C53*D53*E53</f>
        <v>0</v>
      </c>
      <c r="G53" s="730">
        <f t="shared" si="1"/>
        <v>0</v>
      </c>
      <c r="H53" s="700"/>
      <c r="J53" s="701"/>
      <c r="K53" s="147"/>
    </row>
    <row r="54" spans="1:11" ht="12.75" customHeight="1" thickBot="1" x14ac:dyDescent="0.25">
      <c r="A54" s="143"/>
      <c r="B54" s="20" t="str">
        <f>'Var Vorgaben'!B169</f>
        <v>Diverse Kleingeräte</v>
      </c>
      <c r="C54" s="45"/>
      <c r="D54" s="45"/>
      <c r="E54" s="61"/>
      <c r="F54" s="814">
        <f>'Standard Vorgaben'!D169</f>
        <v>500</v>
      </c>
      <c r="G54" s="699">
        <f t="shared" si="1"/>
        <v>6.5446173020563625E-3</v>
      </c>
      <c r="H54" s="18"/>
      <c r="K54" s="19">
        <f>F54</f>
        <v>500</v>
      </c>
    </row>
    <row r="55" spans="1:11" ht="13.5" customHeight="1" thickBot="1" x14ac:dyDescent="0.25">
      <c r="A55" s="106"/>
      <c r="B55" s="20"/>
      <c r="C55" s="45"/>
      <c r="D55" s="45"/>
      <c r="E55" s="61"/>
      <c r="F55" s="79">
        <f>SUM(F50:F54)</f>
        <v>10932.607692307693</v>
      </c>
      <c r="G55" s="1314">
        <f t="shared" si="1"/>
        <v>0.14309946691934283</v>
      </c>
      <c r="H55" s="18"/>
      <c r="I55" s="275" t="s">
        <v>141</v>
      </c>
      <c r="K55" s="277">
        <f>SUM(K40:K54)</f>
        <v>3802.0169230769234</v>
      </c>
    </row>
    <row r="56" spans="1:11" ht="13.5" thickTop="1" x14ac:dyDescent="0.2">
      <c r="B56" s="20"/>
      <c r="C56" s="57"/>
      <c r="D56" s="119" t="s">
        <v>31</v>
      </c>
      <c r="E56" s="122" t="s">
        <v>25</v>
      </c>
      <c r="F56" s="1267" t="s">
        <v>26</v>
      </c>
      <c r="G56" s="727"/>
      <c r="H56" s="18"/>
    </row>
    <row r="57" spans="1:11" ht="16.5" thickBot="1" x14ac:dyDescent="0.3">
      <c r="A57" s="366" t="s">
        <v>70</v>
      </c>
      <c r="B57" s="20" t="s">
        <v>33</v>
      </c>
      <c r="C57" s="57"/>
      <c r="D57" s="403">
        <f>C41*D41</f>
        <v>1</v>
      </c>
      <c r="E57" s="61">
        <f>'Var Vorgaben'!$C$31</f>
        <v>32.700000000000003</v>
      </c>
      <c r="F57" s="1266">
        <f>D57*E57</f>
        <v>32.700000000000003</v>
      </c>
      <c r="G57" s="699">
        <f t="shared" ref="G57:G73" si="2">F57/$F$73</f>
        <v>4.2801797155448616E-4</v>
      </c>
      <c r="H57" s="18"/>
      <c r="I57" s="276" t="s">
        <v>249</v>
      </c>
      <c r="K57" s="278">
        <f>F55-K55</f>
        <v>7130.5907692307692</v>
      </c>
    </row>
    <row r="58" spans="1:11" ht="13.5" thickTop="1" x14ac:dyDescent="0.2">
      <c r="A58" s="17"/>
      <c r="B58" s="4" t="s">
        <v>203</v>
      </c>
      <c r="D58" s="137">
        <f>((C40*D40)+C43*D43+C44*D44)+'Var Vorgaben'!B87+'Var Vorgaben'!C87</f>
        <v>35</v>
      </c>
      <c r="E58" s="61">
        <f>'Var Vorgaben'!$C$31</f>
        <v>32.700000000000003</v>
      </c>
      <c r="F58" s="1266">
        <f t="shared" ref="F58:F66" si="3">D58*E58</f>
        <v>1144.5</v>
      </c>
      <c r="G58" s="699">
        <f t="shared" si="2"/>
        <v>1.4980629004407015E-2</v>
      </c>
      <c r="H58" s="18"/>
      <c r="I58" s="732"/>
      <c r="K58" s="1316"/>
    </row>
    <row r="59" spans="1:11" x14ac:dyDescent="0.2">
      <c r="A59" s="84"/>
      <c r="B59" s="84" t="s">
        <v>366</v>
      </c>
      <c r="C59" s="45"/>
      <c r="D59" s="182">
        <f>'Var Vorgaben'!D87</f>
        <v>100</v>
      </c>
      <c r="E59" s="61">
        <f>'Var Vorgaben'!$C$31</f>
        <v>32.700000000000003</v>
      </c>
      <c r="F59" s="1266">
        <f t="shared" si="3"/>
        <v>3270.0000000000005</v>
      </c>
      <c r="G59" s="699">
        <f t="shared" si="2"/>
        <v>4.2801797155448622E-2</v>
      </c>
      <c r="H59" s="18"/>
      <c r="I59" s="18"/>
      <c r="K59" s="147"/>
    </row>
    <row r="60" spans="1:11" x14ac:dyDescent="0.2">
      <c r="A60" s="17"/>
      <c r="B60" s="20" t="s">
        <v>117</v>
      </c>
      <c r="C60" s="45"/>
      <c r="D60" s="351">
        <f>(C47*D47)+(C49*D49)</f>
        <v>6</v>
      </c>
      <c r="E60" s="61">
        <f>'Var Vorgaben'!$C$31</f>
        <v>32.700000000000003</v>
      </c>
      <c r="F60" s="1266">
        <f t="shared" si="3"/>
        <v>196.20000000000002</v>
      </c>
      <c r="G60" s="699">
        <f t="shared" si="2"/>
        <v>2.5681078293269171E-3</v>
      </c>
      <c r="H60" s="18"/>
      <c r="I60" s="18"/>
    </row>
    <row r="61" spans="1:11" x14ac:dyDescent="0.2">
      <c r="A61" s="17"/>
      <c r="B61" s="4" t="s">
        <v>293</v>
      </c>
      <c r="C61" s="1"/>
      <c r="D61" s="1252">
        <f>'Var Vorgaben'!E87</f>
        <v>0</v>
      </c>
      <c r="E61" s="61">
        <f>'Var Vorgaben'!$C$31</f>
        <v>32.700000000000003</v>
      </c>
      <c r="F61" s="1266">
        <f t="shared" si="3"/>
        <v>0</v>
      </c>
      <c r="G61" s="699">
        <f t="shared" si="2"/>
        <v>0</v>
      </c>
      <c r="H61" s="18"/>
      <c r="I61" s="18"/>
    </row>
    <row r="62" spans="1:11" x14ac:dyDescent="0.2">
      <c r="A62" s="17"/>
      <c r="B62" s="3" t="s">
        <v>183</v>
      </c>
      <c r="C62" s="807">
        <f>'Var Vorgaben'!D81</f>
        <v>12</v>
      </c>
      <c r="D62" s="137">
        <f>D9/C62</f>
        <v>833.33333333333337</v>
      </c>
      <c r="E62" s="61">
        <f>'Var Vorgaben'!$C$30</f>
        <v>22.62</v>
      </c>
      <c r="F62" s="1266">
        <f t="shared" si="3"/>
        <v>18850</v>
      </c>
      <c r="G62" s="699">
        <f t="shared" si="2"/>
        <v>0.24673207228752489</v>
      </c>
      <c r="H62" s="18"/>
      <c r="I62" s="18"/>
    </row>
    <row r="63" spans="1:11" x14ac:dyDescent="0.2">
      <c r="A63" s="17"/>
      <c r="B63" s="97" t="s">
        <v>228</v>
      </c>
      <c r="C63" s="1"/>
      <c r="D63" s="45">
        <f>'Var Erstellung'!D128+'Var Erstellung'!D129</f>
        <v>40</v>
      </c>
      <c r="E63" s="61">
        <f>'Var Vorgaben'!$C$30</f>
        <v>22.62</v>
      </c>
      <c r="F63" s="1266">
        <f t="shared" si="3"/>
        <v>904.80000000000007</v>
      </c>
      <c r="G63" s="699">
        <f t="shared" si="2"/>
        <v>1.1843139469801195E-2</v>
      </c>
      <c r="H63" s="18"/>
      <c r="I63" s="18"/>
    </row>
    <row r="64" spans="1:11" x14ac:dyDescent="0.2">
      <c r="A64" s="17"/>
      <c r="B64" s="97" t="s">
        <v>509</v>
      </c>
      <c r="C64" s="1"/>
      <c r="D64" s="45">
        <f>'Var Erstellung'!E139</f>
        <v>0</v>
      </c>
      <c r="E64" s="61">
        <f>'Var Vorgaben'!$C$30</f>
        <v>22.62</v>
      </c>
      <c r="F64" s="1266">
        <f t="shared" si="3"/>
        <v>0</v>
      </c>
      <c r="G64" s="699">
        <f t="shared" si="2"/>
        <v>0</v>
      </c>
      <c r="H64" s="18"/>
      <c r="I64" s="18"/>
    </row>
    <row r="65" spans="1:11" x14ac:dyDescent="0.2">
      <c r="A65" s="17"/>
      <c r="B65" s="1" t="s">
        <v>412</v>
      </c>
      <c r="C65" s="1"/>
      <c r="D65" s="45">
        <f>'Var Erstellung'!$D$143</f>
        <v>20</v>
      </c>
      <c r="E65" s="61">
        <f>'Var Vorgaben'!$C$30</f>
        <v>22.62</v>
      </c>
      <c r="F65" s="1266">
        <f>D65*E65</f>
        <v>452.40000000000003</v>
      </c>
      <c r="G65" s="699">
        <f t="shared" si="2"/>
        <v>5.9215697349005976E-3</v>
      </c>
      <c r="H65" s="18"/>
      <c r="I65" s="18"/>
    </row>
    <row r="66" spans="1:11" x14ac:dyDescent="0.2">
      <c r="B66" s="1" t="s">
        <v>400</v>
      </c>
      <c r="C66" s="1"/>
      <c r="D66" s="45">
        <f>'Var Erstellung'!D147+'Var Erstellung'!D148</f>
        <v>14</v>
      </c>
      <c r="E66" s="61">
        <f>'Var Vorgaben'!$C$31</f>
        <v>32.700000000000003</v>
      </c>
      <c r="F66" s="1266">
        <f t="shared" si="3"/>
        <v>457.80000000000007</v>
      </c>
      <c r="G66" s="699">
        <f t="shared" si="2"/>
        <v>5.9922516017628068E-3</v>
      </c>
      <c r="H66" s="18"/>
      <c r="I66" s="18"/>
    </row>
    <row r="67" spans="1:11" ht="13.5" thickBot="1" x14ac:dyDescent="0.25">
      <c r="A67" s="17"/>
      <c r="B67" s="4" t="s">
        <v>116</v>
      </c>
      <c r="C67" s="45"/>
      <c r="D67" s="808">
        <f>'Var Vorgaben'!F87+'Var Vorgaben'!G87</f>
        <v>50</v>
      </c>
      <c r="E67" s="61">
        <f>'Var Vorgaben'!$C$27</f>
        <v>41.4</v>
      </c>
      <c r="F67" s="812">
        <f>D67*E67</f>
        <v>2070</v>
      </c>
      <c r="G67" s="699">
        <f t="shared" si="2"/>
        <v>2.7094715630513341E-2</v>
      </c>
      <c r="H67" s="18"/>
      <c r="I67" s="18"/>
    </row>
    <row r="68" spans="1:11" x14ac:dyDescent="0.2">
      <c r="A68" s="130" t="s">
        <v>107</v>
      </c>
      <c r="B68" s="537">
        <f>('Var Vorgaben'!F29*D61)+('Var Vorgaben'!F29*D62)</f>
        <v>750</v>
      </c>
      <c r="C68" s="154" t="s">
        <v>105</v>
      </c>
      <c r="D68" s="404">
        <f>SUM(D57:D67)</f>
        <v>1099.3333333333335</v>
      </c>
      <c r="E68" s="61"/>
      <c r="F68" s="79">
        <f>SUM(F57:F67)</f>
        <v>27378.400000000001</v>
      </c>
      <c r="G68" s="727">
        <f t="shared" si="2"/>
        <v>0.35836230068523989</v>
      </c>
      <c r="H68" s="18"/>
      <c r="I68" s="18"/>
    </row>
    <row r="69" spans="1:11" ht="15.75" x14ac:dyDescent="0.25">
      <c r="A69" s="366" t="s">
        <v>73</v>
      </c>
      <c r="B69" s="20" t="s">
        <v>71</v>
      </c>
      <c r="C69" s="45"/>
      <c r="D69" s="45"/>
      <c r="E69" s="61"/>
      <c r="F69" s="43">
        <f>'Standard Vorgaben'!C37</f>
        <v>660</v>
      </c>
      <c r="G69" s="730">
        <f t="shared" si="2"/>
        <v>8.6388948387143994E-3</v>
      </c>
      <c r="H69" s="18"/>
      <c r="I69" s="18"/>
    </row>
    <row r="70" spans="1:11" ht="13.5" thickBot="1" x14ac:dyDescent="0.25">
      <c r="B70" t="s">
        <v>233</v>
      </c>
      <c r="C70" s="684">
        <f>'Var Vorgaben'!C36</f>
        <v>0.6</v>
      </c>
      <c r="D70" s="702">
        <f>'Var Vorgaben'!C35</f>
        <v>1.4999999999999999E-2</v>
      </c>
      <c r="E70" s="261">
        <f>C32</f>
        <v>240629.94829126823</v>
      </c>
      <c r="F70" s="198">
        <f>$D$70*E70*$C$70</f>
        <v>2165.6695346214137</v>
      </c>
      <c r="G70" s="730">
        <f t="shared" si="2"/>
        <v>2.8346956613639313E-2</v>
      </c>
      <c r="H70" s="18"/>
      <c r="I70" s="18"/>
    </row>
    <row r="71" spans="1:11" ht="13.5" thickBot="1" x14ac:dyDescent="0.25">
      <c r="F71" s="240">
        <f>SUM(F69:F70)</f>
        <v>2825.6695346214137</v>
      </c>
      <c r="G71" s="727">
        <f t="shared" si="2"/>
        <v>3.698585145235371E-2</v>
      </c>
      <c r="H71" s="18"/>
      <c r="I71" s="18"/>
    </row>
    <row r="72" spans="1:11" ht="16.5" thickBot="1" x14ac:dyDescent="0.3">
      <c r="A72" s="446" t="s">
        <v>38</v>
      </c>
      <c r="B72" s="447"/>
      <c r="C72" s="543"/>
      <c r="D72" s="448"/>
      <c r="E72" s="449"/>
      <c r="F72" s="734">
        <f>F71+F68+F55+F38</f>
        <v>41586.67722692911</v>
      </c>
      <c r="G72" s="729">
        <f t="shared" si="2"/>
        <v>0.54433777462878719</v>
      </c>
      <c r="H72" s="18"/>
      <c r="I72" s="18"/>
    </row>
    <row r="73" spans="1:11" s="74" customFormat="1" ht="24.75" customHeight="1" thickBot="1" x14ac:dyDescent="0.35">
      <c r="A73" s="457" t="s">
        <v>297</v>
      </c>
      <c r="B73" s="447"/>
      <c r="C73" s="543"/>
      <c r="D73" s="448"/>
      <c r="E73" s="449"/>
      <c r="F73" s="544">
        <f>F72+F37</f>
        <v>76398.661208638834</v>
      </c>
      <c r="G73" s="729">
        <f t="shared" si="2"/>
        <v>1</v>
      </c>
      <c r="H73" s="720"/>
      <c r="I73" s="720"/>
      <c r="J73" s="179"/>
      <c r="K73" s="185"/>
    </row>
    <row r="74" spans="1:11" s="74" customFormat="1" ht="15" customHeight="1" x14ac:dyDescent="0.3">
      <c r="A74" s="381" t="s">
        <v>74</v>
      </c>
      <c r="B74" s="405"/>
      <c r="C74" s="406"/>
      <c r="D74" s="407"/>
      <c r="E74" s="408"/>
      <c r="F74" s="409">
        <f>F11-F73</f>
        <v>101.33879136118048</v>
      </c>
      <c r="G74" s="719"/>
      <c r="H74" s="720"/>
      <c r="I74" s="720"/>
      <c r="J74" s="179"/>
      <c r="K74" s="185"/>
    </row>
    <row r="75" spans="1:11" s="74" customFormat="1" ht="18.75" customHeight="1" x14ac:dyDescent="0.3">
      <c r="A75" s="381" t="s">
        <v>370</v>
      </c>
      <c r="B75" s="405"/>
      <c r="C75" s="406"/>
      <c r="D75" s="407"/>
      <c r="E75" s="408"/>
      <c r="F75" s="419">
        <f>F11/F73</f>
        <v>1.0013264472146237</v>
      </c>
      <c r="G75" s="719"/>
      <c r="H75" s="720"/>
      <c r="I75" s="720"/>
      <c r="J75" s="179"/>
      <c r="K75" s="185"/>
    </row>
    <row r="76" spans="1:11" s="74" customFormat="1" ht="18.75" customHeight="1" x14ac:dyDescent="0.3">
      <c r="A76" s="381" t="s">
        <v>371</v>
      </c>
      <c r="B76" s="405"/>
      <c r="C76" s="406"/>
      <c r="D76" s="407"/>
      <c r="E76" s="408"/>
      <c r="F76" s="1367">
        <f>F74+F32</f>
        <v>20153.834482300201</v>
      </c>
      <c r="G76" s="719"/>
      <c r="H76" s="720"/>
      <c r="I76" s="720"/>
      <c r="J76" s="179"/>
      <c r="K76" s="185"/>
    </row>
    <row r="77" spans="1:11" s="1" customFormat="1" ht="16.5" customHeight="1" x14ac:dyDescent="0.25">
      <c r="A77" s="377" t="s">
        <v>75</v>
      </c>
      <c r="B77" s="97"/>
      <c r="C77" s="351"/>
      <c r="D77" s="403"/>
      <c r="E77" s="212"/>
      <c r="F77" s="409">
        <f>F73-F68</f>
        <v>49020.261208638833</v>
      </c>
      <c r="G77" s="699"/>
      <c r="H77" s="721"/>
      <c r="I77" s="24"/>
      <c r="J77" s="45"/>
      <c r="K77" s="182"/>
    </row>
    <row r="78" spans="1:11" ht="15.75" thickBot="1" x14ac:dyDescent="0.3">
      <c r="A78" s="381" t="s">
        <v>372</v>
      </c>
      <c r="B78" s="104"/>
      <c r="C78" s="104"/>
      <c r="D78" s="104"/>
      <c r="E78" s="104"/>
      <c r="F78" s="418">
        <f>F11-F77</f>
        <v>27479.738791361182</v>
      </c>
      <c r="G78" s="18"/>
      <c r="H78" s="722"/>
      <c r="I78" s="18"/>
    </row>
    <row r="79" spans="1:11" ht="18.75" thickBot="1" x14ac:dyDescent="0.3">
      <c r="A79" s="457" t="s">
        <v>76</v>
      </c>
      <c r="B79" s="446"/>
      <c r="C79" s="446"/>
      <c r="D79" s="446"/>
      <c r="E79" s="446"/>
      <c r="F79" s="1269">
        <f>F78/D68</f>
        <v>24.996730252905863</v>
      </c>
      <c r="G79" s="18"/>
      <c r="H79" s="18"/>
      <c r="I79" s="18"/>
    </row>
    <row r="80" spans="1:11" s="21" customFormat="1" ht="16.5" thickBot="1" x14ac:dyDescent="0.3">
      <c r="A80" s="446" t="s">
        <v>106</v>
      </c>
      <c r="B80" s="446"/>
      <c r="C80" s="446"/>
      <c r="D80" s="446"/>
      <c r="E80" s="446"/>
      <c r="F80" s="733">
        <f>(F78-(B68*'Standard Vorgaben'!C29))/(D68-B68)</f>
        <v>32.504023257713293</v>
      </c>
      <c r="G80" s="98"/>
      <c r="H80" s="98"/>
      <c r="I80" s="98"/>
      <c r="J80" s="180"/>
      <c r="K80" s="186"/>
    </row>
    <row r="81" spans="1:11" s="73" customFormat="1" ht="22.5" customHeight="1" x14ac:dyDescent="0.25">
      <c r="A81" s="377" t="s">
        <v>296</v>
      </c>
      <c r="B81" s="104" t="s">
        <v>295</v>
      </c>
      <c r="C81" s="410">
        <f>F9-F37</f>
        <v>38988.016018290291</v>
      </c>
      <c r="D81" s="121" t="s">
        <v>100</v>
      </c>
      <c r="E81" s="121"/>
      <c r="F81" s="409">
        <f>F11-F37</f>
        <v>41688.016018290291</v>
      </c>
      <c r="G81" s="1317" t="s">
        <v>572</v>
      </c>
      <c r="H81" s="723"/>
      <c r="J81" s="181"/>
      <c r="K81" s="187"/>
    </row>
    <row r="82" spans="1:11" ht="15.75" customHeight="1" x14ac:dyDescent="0.25">
      <c r="A82" s="420" t="s">
        <v>143</v>
      </c>
      <c r="B82" s="1395" t="s">
        <v>144</v>
      </c>
      <c r="C82" s="1395"/>
      <c r="D82" s="1395"/>
      <c r="E82" s="1395"/>
      <c r="F82" s="715">
        <f>K55+F68+F16+F21+F28+F23</f>
        <v>37328.325256410259</v>
      </c>
      <c r="G82" s="59">
        <f>F11</f>
        <v>76500.000000000015</v>
      </c>
      <c r="H82" s="18"/>
      <c r="I82" t="s">
        <v>218</v>
      </c>
    </row>
    <row r="83" spans="1:11" ht="15" customHeight="1" x14ac:dyDescent="0.25">
      <c r="A83" s="381" t="s">
        <v>166</v>
      </c>
      <c r="B83" s="1" t="s">
        <v>167</v>
      </c>
      <c r="C83" s="1"/>
      <c r="D83" s="1"/>
      <c r="E83" s="1"/>
      <c r="F83" s="716">
        <f>F11/D68</f>
        <v>69.587628865979383</v>
      </c>
      <c r="G83" s="24"/>
      <c r="H83" s="18"/>
    </row>
    <row r="84" spans="1:11" ht="15.75" customHeight="1" x14ac:dyDescent="0.25">
      <c r="A84" s="381"/>
      <c r="B84" s="4" t="s">
        <v>562</v>
      </c>
      <c r="C84" s="1"/>
      <c r="D84" s="1"/>
      <c r="E84" s="1"/>
      <c r="F84" s="717">
        <f>D7/D68</f>
        <v>8.1867798665858107</v>
      </c>
      <c r="G84" s="24"/>
      <c r="H84" s="18"/>
    </row>
    <row r="85" spans="1:11" ht="15" customHeight="1" x14ac:dyDescent="0.25">
      <c r="A85" s="381" t="s">
        <v>168</v>
      </c>
      <c r="B85" s="1" t="s">
        <v>269</v>
      </c>
      <c r="C85" s="1"/>
      <c r="D85" s="1"/>
      <c r="E85" s="1"/>
      <c r="F85" s="718">
        <f>(F74+F70)/E70</f>
        <v>9.4211395633868305E-3</v>
      </c>
      <c r="G85" s="24"/>
      <c r="H85" s="24"/>
      <c r="I85" s="1" t="s">
        <v>219</v>
      </c>
      <c r="J85" s="45"/>
      <c r="K85" s="8">
        <f>F73-F71</f>
        <v>73572.991674017423</v>
      </c>
    </row>
    <row r="86" spans="1:11" ht="20.25" x14ac:dyDescent="0.3">
      <c r="A86" s="434" t="s">
        <v>101</v>
      </c>
      <c r="B86" s="446" t="s">
        <v>102</v>
      </c>
      <c r="C86" s="367"/>
      <c r="D86" s="367"/>
      <c r="E86" s="367"/>
      <c r="F86" s="547">
        <f>F73/D9</f>
        <v>7.6398661208638838</v>
      </c>
      <c r="G86" s="18"/>
      <c r="H86" s="18"/>
      <c r="I86" t="s">
        <v>220</v>
      </c>
      <c r="K86" s="19">
        <f>F11-K85</f>
        <v>2927.0083259825915</v>
      </c>
    </row>
    <row r="87" spans="1:11" ht="16.5" thickBot="1" x14ac:dyDescent="0.3">
      <c r="D87" s="40" t="s">
        <v>77</v>
      </c>
      <c r="E87" s="40" t="s">
        <v>78</v>
      </c>
      <c r="F87" s="299"/>
      <c r="G87" s="18"/>
      <c r="H87" s="724"/>
      <c r="I87" s="18"/>
    </row>
    <row r="88" spans="1:11" ht="15.75" x14ac:dyDescent="0.25">
      <c r="A88" s="446" t="s">
        <v>142</v>
      </c>
      <c r="B88" s="423" t="s">
        <v>91</v>
      </c>
      <c r="C88" s="655" t="str">
        <f>B7</f>
        <v xml:space="preserve"> 22+ mm</v>
      </c>
      <c r="D88" s="93">
        <f>F7/F9</f>
        <v>1</v>
      </c>
      <c r="E88" s="81">
        <f>D88*F73</f>
        <v>76398.661208638834</v>
      </c>
      <c r="F88" s="421">
        <f>E88/D7</f>
        <v>8.4887401342932023</v>
      </c>
      <c r="G88" s="18"/>
      <c r="H88" s="725"/>
      <c r="I88" s="18"/>
    </row>
    <row r="89" spans="1:11" ht="15.75" thickBot="1" x14ac:dyDescent="0.3">
      <c r="A89" s="24" t="s">
        <v>373</v>
      </c>
      <c r="C89" s="655" t="str">
        <f>B8</f>
        <v xml:space="preserve"> Abgang</v>
      </c>
      <c r="D89" s="93">
        <f>F8/F9</f>
        <v>0</v>
      </c>
      <c r="E89" s="81">
        <f>D89*F73</f>
        <v>0</v>
      </c>
      <c r="F89" s="422">
        <f>E89/D8</f>
        <v>0</v>
      </c>
      <c r="G89" s="18"/>
      <c r="H89" s="18"/>
      <c r="I89" s="18"/>
    </row>
    <row r="90" spans="1:11" s="1" customFormat="1" ht="18" x14ac:dyDescent="0.25">
      <c r="A90" s="457" t="s">
        <v>257</v>
      </c>
      <c r="B90" s="367"/>
      <c r="C90" s="367"/>
      <c r="D90" s="367"/>
      <c r="E90" s="367"/>
      <c r="F90" s="548"/>
      <c r="G90" s="24"/>
      <c r="H90" s="24"/>
      <c r="I90" s="24"/>
      <c r="J90" s="45"/>
      <c r="K90" s="182"/>
    </row>
    <row r="91" spans="1:11" x14ac:dyDescent="0.2">
      <c r="F91" s="47"/>
    </row>
    <row r="92" spans="1:11" s="243" customFormat="1" ht="21.75" customHeight="1" x14ac:dyDescent="0.2">
      <c r="A92" s="288" t="s">
        <v>258</v>
      </c>
      <c r="B92" s="255" t="s">
        <v>152</v>
      </c>
      <c r="C92" s="289" t="s">
        <v>259</v>
      </c>
      <c r="J92" s="255"/>
      <c r="K92" s="290"/>
    </row>
    <row r="93" spans="1:11" x14ac:dyDescent="0.2">
      <c r="A93" t="s">
        <v>198</v>
      </c>
      <c r="B93" s="43">
        <f>F68</f>
        <v>27378.400000000001</v>
      </c>
      <c r="C93" s="295">
        <f>B93/$B$96</f>
        <v>0.35836230068523989</v>
      </c>
    </row>
    <row r="94" spans="1:11" x14ac:dyDescent="0.2">
      <c r="A94" t="s">
        <v>260</v>
      </c>
      <c r="B94" s="43">
        <f>F71</f>
        <v>2825.6695346214137</v>
      </c>
      <c r="C94" s="295">
        <f>B94/$B$96</f>
        <v>3.698585145235371E-2</v>
      </c>
    </row>
    <row r="95" spans="1:11" x14ac:dyDescent="0.2">
      <c r="A95" s="40" t="s">
        <v>261</v>
      </c>
      <c r="B95" s="114">
        <f>B96-B93-B94</f>
        <v>46194.591674017422</v>
      </c>
      <c r="C95" s="424">
        <f>B95/$B$96</f>
        <v>0.60465184786240644</v>
      </c>
    </row>
    <row r="96" spans="1:11" x14ac:dyDescent="0.2">
      <c r="A96" s="1" t="str">
        <f>A73</f>
        <v>Produktionskosten pro ha</v>
      </c>
      <c r="B96" s="199">
        <f>F73</f>
        <v>76398.661208638834</v>
      </c>
      <c r="C96" s="295">
        <f>SUM(C93:C95)</f>
        <v>1</v>
      </c>
      <c r="D96" s="12"/>
    </row>
    <row r="97" spans="1:11" x14ac:dyDescent="0.2">
      <c r="A97" s="1"/>
      <c r="F97" s="47"/>
    </row>
    <row r="98" spans="1:11" x14ac:dyDescent="0.2">
      <c r="A98" s="1"/>
      <c r="F98" s="47"/>
    </row>
    <row r="99" spans="1:11" s="243" customFormat="1" ht="30.75" customHeight="1" x14ac:dyDescent="0.2">
      <c r="A99" s="391" t="s">
        <v>314</v>
      </c>
      <c r="B99" s="255" t="s">
        <v>152</v>
      </c>
      <c r="C99" s="292" t="s">
        <v>325</v>
      </c>
      <c r="D99" s="293"/>
      <c r="J99" s="255"/>
      <c r="K99" s="290"/>
    </row>
    <row r="100" spans="1:11" x14ac:dyDescent="0.2">
      <c r="A100" s="97" t="str">
        <f>B69</f>
        <v>für Boden</v>
      </c>
      <c r="B100" s="43">
        <f>F69</f>
        <v>660</v>
      </c>
      <c r="C100" s="232">
        <f>B100/$B$102</f>
        <v>0.23357296099680938</v>
      </c>
    </row>
    <row r="101" spans="1:11" x14ac:dyDescent="0.2">
      <c r="A101" s="392" t="str">
        <f>B70</f>
        <v xml:space="preserve">für Investition Kirschenanlage </v>
      </c>
      <c r="B101" s="114">
        <f>F70</f>
        <v>2165.6695346214137</v>
      </c>
      <c r="C101" s="425">
        <f>B101/$B$102</f>
        <v>0.76642703900319065</v>
      </c>
    </row>
    <row r="102" spans="1:11" x14ac:dyDescent="0.2">
      <c r="A102" s="312" t="s">
        <v>260</v>
      </c>
      <c r="B102" s="199">
        <f>SUM(B100:B101)</f>
        <v>2825.6695346214137</v>
      </c>
      <c r="C102" s="232">
        <f>SUM(C100:C101)</f>
        <v>1</v>
      </c>
    </row>
    <row r="103" spans="1:11" x14ac:dyDescent="0.2">
      <c r="A103" s="312"/>
      <c r="B103" s="43"/>
      <c r="C103" s="313"/>
    </row>
    <row r="105" spans="1:11" ht="26.25" customHeight="1" x14ac:dyDescent="0.2">
      <c r="A105" s="391" t="s">
        <v>262</v>
      </c>
      <c r="B105" s="1310" t="s">
        <v>152</v>
      </c>
      <c r="C105" s="292" t="s">
        <v>325</v>
      </c>
    </row>
    <row r="106" spans="1:11" x14ac:dyDescent="0.2">
      <c r="A106" s="97" t="str">
        <f>B62</f>
        <v>Ernte (inkl. Sortieren ohne kalibrieren)</v>
      </c>
      <c r="B106" s="43">
        <f>F62</f>
        <v>18850</v>
      </c>
      <c r="C106" s="232">
        <f>B106/B116</f>
        <v>0.68849896268591293</v>
      </c>
    </row>
    <row r="107" spans="1:11" x14ac:dyDescent="0.2">
      <c r="A107" s="1" t="str">
        <f>B59</f>
        <v>Baumerziehung (Sommer + Winter)</v>
      </c>
      <c r="B107" s="43">
        <f>F59</f>
        <v>3270.0000000000005</v>
      </c>
      <c r="C107" s="105">
        <f>B107/B116</f>
        <v>0.11943722058264911</v>
      </c>
    </row>
    <row r="108" spans="1:11" x14ac:dyDescent="0.2">
      <c r="A108" s="387" t="str">
        <f>B61</f>
        <v>Behangsregulierung</v>
      </c>
      <c r="B108" s="43">
        <f>F61</f>
        <v>0</v>
      </c>
      <c r="C108" s="105">
        <f>B108/B116</f>
        <v>0</v>
      </c>
    </row>
    <row r="109" spans="1:11" x14ac:dyDescent="0.2">
      <c r="A109" s="388" t="str">
        <f>B67</f>
        <v>Verwaltung + übrige Arbeiten</v>
      </c>
      <c r="B109" s="43">
        <f>F67</f>
        <v>2070</v>
      </c>
      <c r="C109" s="105">
        <f>B109/B116</f>
        <v>7.5607047891768683E-2</v>
      </c>
    </row>
    <row r="110" spans="1:11" x14ac:dyDescent="0.2">
      <c r="A110" s="388" t="str">
        <f>B63</f>
        <v>Regendachfolie:  Ausrollen + Einrollen</v>
      </c>
      <c r="B110" s="43">
        <f>F63</f>
        <v>904.80000000000007</v>
      </c>
      <c r="C110" s="105">
        <f>B110/B116</f>
        <v>3.3047950208923822E-2</v>
      </c>
    </row>
    <row r="111" spans="1:11" s="1" customFormat="1" x14ac:dyDescent="0.2">
      <c r="A111" s="1" t="s">
        <v>412</v>
      </c>
      <c r="B111" s="43">
        <f>F65</f>
        <v>452.40000000000003</v>
      </c>
      <c r="C111" s="105">
        <f>B111/B116</f>
        <v>1.6523975104461911E-2</v>
      </c>
      <c r="J111" s="45"/>
      <c r="K111" s="182"/>
    </row>
    <row r="112" spans="1:11" x14ac:dyDescent="0.2">
      <c r="A112" s="388" t="str">
        <f>B66</f>
        <v>Sprinkleranlage: Kontrolle, Spühlung</v>
      </c>
      <c r="B112" s="43">
        <f>F66</f>
        <v>457.80000000000007</v>
      </c>
      <c r="C112" s="105">
        <f>B112/B116</f>
        <v>1.6721210881570876E-2</v>
      </c>
    </row>
    <row r="113" spans="1:11" x14ac:dyDescent="0.2">
      <c r="A113" s="388" t="str">
        <f>B58</f>
        <v>Pflanzenschutz inkl. Kontrolle und Mausen</v>
      </c>
      <c r="B113" s="43">
        <f>F58</f>
        <v>1144.5</v>
      </c>
      <c r="C113" s="105">
        <f>B113/B116</f>
        <v>4.180302720392718E-2</v>
      </c>
    </row>
    <row r="114" spans="1:11" x14ac:dyDescent="0.2">
      <c r="A114" s="388" t="str">
        <f>B60</f>
        <v>Mulchen und Schnittholz hacken</v>
      </c>
      <c r="B114" s="43">
        <f>F60</f>
        <v>196.20000000000002</v>
      </c>
      <c r="C114" s="105">
        <f>B114/B116</f>
        <v>7.1662332349589457E-3</v>
      </c>
    </row>
    <row r="115" spans="1:11" x14ac:dyDescent="0.2">
      <c r="A115" s="389" t="str">
        <f>B57</f>
        <v>Düngung</v>
      </c>
      <c r="B115" s="114">
        <f>F57</f>
        <v>32.700000000000003</v>
      </c>
      <c r="C115" s="210">
        <f>B115/B116</f>
        <v>1.194372205826491E-3</v>
      </c>
    </row>
    <row r="116" spans="1:11" x14ac:dyDescent="0.2">
      <c r="A116" s="388" t="str">
        <f>A93</f>
        <v>Arbeitskosten</v>
      </c>
      <c r="B116" s="199">
        <f>SUM(B106:B115)</f>
        <v>27378.400000000001</v>
      </c>
      <c r="C116" s="105">
        <f>SUM(C106:C115)</f>
        <v>0.99999999999999989</v>
      </c>
    </row>
    <row r="117" spans="1:11" x14ac:dyDescent="0.2">
      <c r="B117" s="1"/>
    </row>
    <row r="118" spans="1:11" x14ac:dyDescent="0.2">
      <c r="B118" s="1"/>
      <c r="F118" s="47"/>
    </row>
    <row r="119" spans="1:11" x14ac:dyDescent="0.2">
      <c r="A119" s="288" t="s">
        <v>263</v>
      </c>
      <c r="B119" s="264" t="s">
        <v>152</v>
      </c>
      <c r="C119" s="292" t="s">
        <v>325</v>
      </c>
      <c r="F119" s="47"/>
    </row>
    <row r="120" spans="1:11" s="243" customFormat="1" ht="12.75" customHeight="1" x14ac:dyDescent="0.2">
      <c r="A120" s="188" t="str">
        <f>A106</f>
        <v>Ernte (inkl. Sortieren ohne kalibrieren)</v>
      </c>
      <c r="B120" s="43">
        <f>B106</f>
        <v>18850</v>
      </c>
      <c r="C120" s="295">
        <f>B120/B123</f>
        <v>0.68849896268591293</v>
      </c>
      <c r="D120" s="293"/>
      <c r="E120" s="293"/>
      <c r="F120" s="264"/>
      <c r="J120" s="255"/>
      <c r="K120" s="290"/>
    </row>
    <row r="121" spans="1:11" x14ac:dyDescent="0.2">
      <c r="A121" s="188" t="str">
        <f>A107</f>
        <v>Baumerziehung (Sommer + Winter)</v>
      </c>
      <c r="B121" s="43">
        <f>B107</f>
        <v>3270.0000000000005</v>
      </c>
      <c r="C121" s="295">
        <f>B121/B123</f>
        <v>0.11943722058264911</v>
      </c>
      <c r="D121" s="294"/>
      <c r="E121" s="43"/>
      <c r="F121" s="295"/>
    </row>
    <row r="122" spans="1:11" x14ac:dyDescent="0.2">
      <c r="A122" s="209" t="s">
        <v>264</v>
      </c>
      <c r="B122" s="114">
        <f>B108+B109+B110+B112+B113+B114+B115+B111</f>
        <v>5258.4</v>
      </c>
      <c r="C122" s="424">
        <f>B122/B123</f>
        <v>0.19206381673143791</v>
      </c>
    </row>
    <row r="123" spans="1:11" ht="18" customHeight="1" x14ac:dyDescent="0.2">
      <c r="A123" s="388" t="str">
        <f>A93</f>
        <v>Arbeitskosten</v>
      </c>
      <c r="B123" s="199">
        <f>SUM(B120:B122)</f>
        <v>27378.400000000001</v>
      </c>
      <c r="C123" s="295">
        <f>SUM(C120:C122)</f>
        <v>1</v>
      </c>
    </row>
    <row r="124" spans="1:11" x14ac:dyDescent="0.2">
      <c r="B124" s="1"/>
    </row>
    <row r="125" spans="1:11" x14ac:dyDescent="0.2">
      <c r="B125" s="1"/>
    </row>
    <row r="126" spans="1:11" x14ac:dyDescent="0.2">
      <c r="A126" s="288" t="s">
        <v>265</v>
      </c>
      <c r="B126" s="264" t="s">
        <v>152</v>
      </c>
      <c r="C126" s="289" t="s">
        <v>315</v>
      </c>
    </row>
    <row r="127" spans="1:11" s="243" customFormat="1" ht="51" x14ac:dyDescent="0.2">
      <c r="A127" s="390" t="str">
        <f>A29</f>
        <v>Abschreibung Kirschenanlage (inkl. Regendach mit 1x Folie, Einnetzung 1x, optionalem Hagelnetz und Bewässerungsanlage)</v>
      </c>
      <c r="B127" s="426">
        <f>F32</f>
        <v>20052.49569093902</v>
      </c>
      <c r="C127" s="427">
        <f>B127/B130</f>
        <v>0.43408751899884707</v>
      </c>
      <c r="J127" s="255"/>
      <c r="K127" s="290"/>
    </row>
    <row r="128" spans="1:11" x14ac:dyDescent="0.2">
      <c r="A128" s="1" t="str">
        <f>A40</f>
        <v>Maschinen und Geräte</v>
      </c>
      <c r="B128" s="43">
        <f>F55</f>
        <v>10932.607692307693</v>
      </c>
      <c r="C128" s="295">
        <f>B128/B130</f>
        <v>0.23666423484065213</v>
      </c>
    </row>
    <row r="129" spans="1:14" x14ac:dyDescent="0.2">
      <c r="A129" s="209" t="s">
        <v>266</v>
      </c>
      <c r="B129" s="114">
        <f>B96-B102-B116-B127-B128</f>
        <v>15209.488290770709</v>
      </c>
      <c r="C129" s="424">
        <f>B129/B130</f>
        <v>0.3292482461605008</v>
      </c>
    </row>
    <row r="130" spans="1:14" x14ac:dyDescent="0.2">
      <c r="A130" s="1" t="str">
        <f>A95</f>
        <v>Sachkosten</v>
      </c>
      <c r="B130" s="199">
        <f>SUM(B127:B129)</f>
        <v>46194.591674017422</v>
      </c>
      <c r="C130" s="295">
        <f>SUM(C127:C129)</f>
        <v>1</v>
      </c>
    </row>
    <row r="131" spans="1:14" x14ac:dyDescent="0.2">
      <c r="B131" s="1"/>
      <c r="J131"/>
      <c r="K131"/>
      <c r="M131" s="12"/>
      <c r="N131" s="19"/>
    </row>
    <row r="132" spans="1:14" x14ac:dyDescent="0.2">
      <c r="B132" s="1"/>
      <c r="J132"/>
      <c r="K132"/>
      <c r="M132" s="12"/>
      <c r="N132" s="19"/>
    </row>
    <row r="133" spans="1:14" ht="25.5" x14ac:dyDescent="0.2">
      <c r="A133" s="291" t="s">
        <v>267</v>
      </c>
      <c r="B133" s="264" t="s">
        <v>152</v>
      </c>
      <c r="C133" s="289" t="s">
        <v>259</v>
      </c>
      <c r="J133"/>
      <c r="K133"/>
      <c r="M133" s="12"/>
      <c r="N133" s="19"/>
    </row>
    <row r="134" spans="1:14" x14ac:dyDescent="0.2">
      <c r="A134" s="1" t="str">
        <f>A37</f>
        <v>Total Direktkosten</v>
      </c>
      <c r="B134" s="43">
        <f>F37</f>
        <v>34811.983981709724</v>
      </c>
      <c r="C134" s="295">
        <f>B134/B136</f>
        <v>0.45566222537121281</v>
      </c>
      <c r="J134"/>
      <c r="K134"/>
      <c r="M134" s="12"/>
      <c r="N134" s="19"/>
    </row>
    <row r="135" spans="1:14" x14ac:dyDescent="0.2">
      <c r="A135" s="209" t="str">
        <f>A72</f>
        <v>Total Strukturkosten</v>
      </c>
      <c r="B135" s="114">
        <f>F72</f>
        <v>41586.67722692911</v>
      </c>
      <c r="C135" s="424">
        <f>B135/B136</f>
        <v>0.54433777462878719</v>
      </c>
      <c r="J135"/>
      <c r="K135"/>
      <c r="M135" s="12"/>
      <c r="N135" s="19"/>
    </row>
    <row r="136" spans="1:14" x14ac:dyDescent="0.2">
      <c r="A136" s="1" t="str">
        <f>A73</f>
        <v>Produktionskosten pro ha</v>
      </c>
      <c r="B136" s="199">
        <f>SUM(B134:B135)</f>
        <v>76398.661208638834</v>
      </c>
      <c r="C136" s="295">
        <f>SUM(C134:C135)</f>
        <v>1</v>
      </c>
      <c r="J136"/>
      <c r="K136"/>
      <c r="M136" s="12"/>
      <c r="N136" s="19"/>
    </row>
    <row r="137" spans="1:14" x14ac:dyDescent="0.2">
      <c r="B137" s="1"/>
      <c r="J137"/>
      <c r="K137"/>
      <c r="M137" s="12"/>
      <c r="N137" s="19"/>
    </row>
    <row r="138" spans="1:14" x14ac:dyDescent="0.2">
      <c r="J138"/>
      <c r="K138"/>
      <c r="M138" s="12"/>
      <c r="N138" s="19"/>
    </row>
    <row r="139" spans="1:14" ht="18" x14ac:dyDescent="0.25">
      <c r="A139" s="457" t="s">
        <v>316</v>
      </c>
      <c r="B139" s="367"/>
      <c r="C139" s="367"/>
      <c r="J139"/>
      <c r="K139"/>
      <c r="M139" s="12"/>
      <c r="N139" s="19"/>
    </row>
    <row r="140" spans="1:14" x14ac:dyDescent="0.2">
      <c r="B140" s="255" t="s">
        <v>152</v>
      </c>
      <c r="C140" s="289" t="s">
        <v>259</v>
      </c>
      <c r="J140"/>
      <c r="K140"/>
      <c r="M140" s="12"/>
      <c r="N140" s="19"/>
    </row>
    <row r="141" spans="1:14" x14ac:dyDescent="0.2">
      <c r="A141" s="62" t="s">
        <v>317</v>
      </c>
      <c r="B141" s="1"/>
      <c r="J141"/>
      <c r="K141"/>
      <c r="M141" s="12"/>
      <c r="N141" s="19"/>
    </row>
    <row r="142" spans="1:14" x14ac:dyDescent="0.2">
      <c r="A142" s="1308" t="s">
        <v>124</v>
      </c>
      <c r="B142" s="199">
        <f>F21</f>
        <v>1860.2999999999997</v>
      </c>
      <c r="C142" s="63">
        <f>B142/$F$73</f>
        <v>2.43499031340309E-2</v>
      </c>
      <c r="J142"/>
      <c r="K142"/>
      <c r="M142" s="12"/>
      <c r="N142" s="19"/>
    </row>
    <row r="143" spans="1:14" x14ac:dyDescent="0.2">
      <c r="B143" s="43"/>
      <c r="C143" s="63"/>
      <c r="J143"/>
      <c r="K143"/>
      <c r="M143" s="12"/>
      <c r="N143" s="19"/>
    </row>
    <row r="144" spans="1:14" x14ac:dyDescent="0.2">
      <c r="A144" s="62" t="s">
        <v>27</v>
      </c>
      <c r="B144" s="45"/>
      <c r="C144" s="63"/>
      <c r="J144"/>
      <c r="K144"/>
      <c r="M144" s="12"/>
      <c r="N144" s="19"/>
    </row>
    <row r="145" spans="1:14" x14ac:dyDescent="0.2">
      <c r="A145" s="1" t="s">
        <v>563</v>
      </c>
      <c r="B145" s="43">
        <f>F40</f>
        <v>185</v>
      </c>
      <c r="C145" s="314">
        <f>B145/$F$73</f>
        <v>2.4215084017608544E-3</v>
      </c>
      <c r="J145"/>
      <c r="K145"/>
      <c r="M145" s="12"/>
      <c r="N145" s="19"/>
    </row>
    <row r="146" spans="1:14" x14ac:dyDescent="0.2">
      <c r="A146" s="1" t="s">
        <v>564</v>
      </c>
      <c r="B146" s="43">
        <f>F43</f>
        <v>390</v>
      </c>
      <c r="C146" s="314"/>
      <c r="J146"/>
      <c r="K146"/>
      <c r="M146" s="12"/>
      <c r="N146" s="19"/>
    </row>
    <row r="147" spans="1:14" x14ac:dyDescent="0.2">
      <c r="A147" s="1" t="s">
        <v>565</v>
      </c>
      <c r="B147" s="43">
        <f>F44</f>
        <v>152</v>
      </c>
      <c r="C147" s="314">
        <f>B147/$F$73</f>
        <v>1.9895636598251344E-3</v>
      </c>
      <c r="J147"/>
      <c r="K147"/>
      <c r="M147" s="12"/>
      <c r="N147" s="19"/>
    </row>
    <row r="148" spans="1:14" x14ac:dyDescent="0.2">
      <c r="A148" s="1" t="s">
        <v>28</v>
      </c>
      <c r="B148" s="428">
        <f>((C40*D40)+(C43*D43+C44*D44))*E51</f>
        <v>615</v>
      </c>
      <c r="C148" s="315">
        <f>B148/$F$73</f>
        <v>8.049879281529327E-3</v>
      </c>
      <c r="J148"/>
      <c r="K148"/>
      <c r="M148" s="12"/>
      <c r="N148" s="19"/>
    </row>
    <row r="149" spans="1:14" x14ac:dyDescent="0.2">
      <c r="A149" s="1"/>
      <c r="B149" s="199">
        <f>SUM(B145:B148)</f>
        <v>1342</v>
      </c>
      <c r="C149" s="63">
        <f>SUM(C145:C148)</f>
        <v>1.2460951343115315E-2</v>
      </c>
      <c r="J149"/>
      <c r="K149"/>
      <c r="M149" s="12"/>
      <c r="N149" s="19"/>
    </row>
    <row r="150" spans="1:14" x14ac:dyDescent="0.2">
      <c r="A150" s="1"/>
      <c r="B150" s="45"/>
      <c r="C150" s="63"/>
      <c r="J150"/>
      <c r="K150"/>
      <c r="M150" s="12"/>
      <c r="N150" s="19"/>
    </row>
    <row r="151" spans="1:14" x14ac:dyDescent="0.2">
      <c r="A151" s="104" t="s">
        <v>32</v>
      </c>
      <c r="B151" s="45"/>
      <c r="C151" s="63"/>
      <c r="J151"/>
      <c r="K151"/>
      <c r="M151" s="12"/>
      <c r="N151" s="19"/>
    </row>
    <row r="152" spans="1:14" x14ac:dyDescent="0.2">
      <c r="A152" s="24" t="s">
        <v>203</v>
      </c>
      <c r="B152" s="117">
        <f>F58</f>
        <v>1144.5</v>
      </c>
      <c r="C152" s="63">
        <f>B152/$F$73</f>
        <v>1.4980629004407015E-2</v>
      </c>
      <c r="J152"/>
      <c r="K152"/>
      <c r="M152" s="12"/>
      <c r="N152" s="19"/>
    </row>
    <row r="153" spans="1:14" x14ac:dyDescent="0.2">
      <c r="A153" s="1"/>
      <c r="B153" s="1"/>
      <c r="C153" s="63"/>
      <c r="J153"/>
      <c r="K153"/>
      <c r="M153" s="12"/>
      <c r="N153" s="19"/>
    </row>
    <row r="154" spans="1:14" x14ac:dyDescent="0.2">
      <c r="A154" s="104" t="s">
        <v>318</v>
      </c>
      <c r="B154" s="199">
        <f>B142+B149+B152</f>
        <v>4346.7999999999993</v>
      </c>
      <c r="C154" s="309">
        <f>B154/$F$73</f>
        <v>5.6896284977157187E-2</v>
      </c>
      <c r="J154"/>
      <c r="K154"/>
      <c r="M154" s="12"/>
      <c r="N154" s="19"/>
    </row>
    <row r="155" spans="1:14" x14ac:dyDescent="0.2">
      <c r="A155" t="s">
        <v>319</v>
      </c>
      <c r="B155" s="43">
        <f>F73-B154</f>
        <v>72051.861208638831</v>
      </c>
      <c r="C155" s="63">
        <f>B155/$F$73</f>
        <v>0.94310371502284274</v>
      </c>
      <c r="J155"/>
      <c r="K155"/>
      <c r="M155" s="12"/>
      <c r="N155" s="19"/>
    </row>
    <row r="156" spans="1:14" ht="28.5" customHeight="1" x14ac:dyDescent="0.2">
      <c r="B156" s="1"/>
      <c r="J156"/>
      <c r="K156"/>
      <c r="M156" s="12"/>
      <c r="N156" s="19"/>
    </row>
    <row r="157" spans="1:14" ht="38.25" x14ac:dyDescent="0.2">
      <c r="A157" s="62" t="s">
        <v>320</v>
      </c>
      <c r="B157" s="264"/>
      <c r="C157" s="316" t="s">
        <v>321</v>
      </c>
      <c r="J157"/>
      <c r="K157"/>
      <c r="M157" s="12"/>
      <c r="N157" s="19"/>
    </row>
    <row r="158" spans="1:14" x14ac:dyDescent="0.2">
      <c r="A158" t="s">
        <v>317</v>
      </c>
      <c r="B158" s="43">
        <f>B142</f>
        <v>1860.2999999999997</v>
      </c>
      <c r="C158" s="63">
        <f>B158/$B$161</f>
        <v>0.4279700009202172</v>
      </c>
      <c r="J158"/>
      <c r="K158"/>
      <c r="M158" s="12"/>
      <c r="N158" s="19"/>
    </row>
    <row r="159" spans="1:14" x14ac:dyDescent="0.2">
      <c r="A159" t="s">
        <v>27</v>
      </c>
      <c r="B159" s="43">
        <f>B149</f>
        <v>1342</v>
      </c>
      <c r="C159" s="63">
        <f>B159/$B$161</f>
        <v>0.30873286095518548</v>
      </c>
      <c r="J159"/>
      <c r="K159"/>
      <c r="M159" s="12"/>
      <c r="N159" s="19"/>
    </row>
    <row r="160" spans="1:14" x14ac:dyDescent="0.2">
      <c r="A160" s="40" t="s">
        <v>32</v>
      </c>
      <c r="B160" s="114">
        <f>B152</f>
        <v>1144.5</v>
      </c>
      <c r="C160" s="308">
        <f>B160/$B$161</f>
        <v>0.26329713812459743</v>
      </c>
      <c r="J160"/>
      <c r="K160"/>
      <c r="M160" s="12"/>
      <c r="N160" s="19"/>
    </row>
    <row r="161" spans="1:14" ht="25.5" x14ac:dyDescent="0.2">
      <c r="A161" s="291" t="s">
        <v>389</v>
      </c>
      <c r="B161" s="301">
        <f>SUM(B158:B160)</f>
        <v>4346.7999999999993</v>
      </c>
      <c r="C161" s="63">
        <f>B161/$B$154</f>
        <v>1</v>
      </c>
      <c r="J161"/>
      <c r="K161"/>
      <c r="M161" s="12"/>
      <c r="N161" s="19"/>
    </row>
    <row r="162" spans="1:14" x14ac:dyDescent="0.2">
      <c r="J162"/>
      <c r="K162"/>
      <c r="M162" s="12"/>
      <c r="N162" s="19"/>
    </row>
    <row r="163" spans="1:14" x14ac:dyDescent="0.2">
      <c r="J163"/>
      <c r="K163"/>
      <c r="M163" s="12"/>
      <c r="N163" s="19"/>
    </row>
    <row r="164" spans="1:14" ht="18" x14ac:dyDescent="0.25">
      <c r="A164" s="457" t="s">
        <v>322</v>
      </c>
      <c r="B164" s="367"/>
      <c r="C164" s="367"/>
      <c r="J164"/>
      <c r="K164"/>
      <c r="M164" s="12"/>
      <c r="N164" s="19"/>
    </row>
    <row r="165" spans="1:14" x14ac:dyDescent="0.2">
      <c r="B165" s="255" t="s">
        <v>152</v>
      </c>
      <c r="C165" s="289" t="s">
        <v>259</v>
      </c>
      <c r="J165"/>
      <c r="K165"/>
      <c r="M165" s="12"/>
      <c r="N165" s="19"/>
    </row>
    <row r="166" spans="1:14" x14ac:dyDescent="0.2">
      <c r="A166" t="s">
        <v>27</v>
      </c>
      <c r="B166" s="1"/>
      <c r="J166"/>
      <c r="K166"/>
      <c r="M166" s="12"/>
      <c r="N166" s="19"/>
    </row>
    <row r="167" spans="1:14" x14ac:dyDescent="0.2">
      <c r="A167" s="1308" t="str">
        <f>B45</f>
        <v>Pneuwagen 2achsig, 3t (Ernte)</v>
      </c>
      <c r="B167" s="43">
        <f>F45</f>
        <v>2083.3333333333335</v>
      </c>
      <c r="C167" s="63">
        <f>B167/$F$73</f>
        <v>2.7269238758568182E-2</v>
      </c>
      <c r="J167"/>
      <c r="K167"/>
      <c r="M167" s="12"/>
      <c r="N167" s="19"/>
    </row>
    <row r="168" spans="1:14" x14ac:dyDescent="0.2">
      <c r="A168" s="1308" t="s">
        <v>28</v>
      </c>
      <c r="B168" s="170">
        <f>D45*E51</f>
        <v>3416.666666666667</v>
      </c>
      <c r="C168" s="63">
        <f>B168/$F$73</f>
        <v>4.4721551564051817E-2</v>
      </c>
      <c r="J168"/>
      <c r="K168"/>
      <c r="M168" s="12"/>
      <c r="N168" s="19"/>
    </row>
    <row r="169" spans="1:14" x14ac:dyDescent="0.2">
      <c r="A169" t="s">
        <v>32</v>
      </c>
      <c r="B169" s="45"/>
      <c r="C169" s="63"/>
      <c r="J169"/>
      <c r="K169"/>
      <c r="M169" s="12"/>
      <c r="N169" s="19"/>
    </row>
    <row r="170" spans="1:14" x14ac:dyDescent="0.2">
      <c r="A170" s="310" t="str">
        <f>B62</f>
        <v>Ernte (inkl. Sortieren ohne kalibrieren)</v>
      </c>
      <c r="B170" s="59">
        <f>F62</f>
        <v>18850</v>
      </c>
      <c r="C170" s="63">
        <f>B170/$F$73</f>
        <v>0.24673207228752489</v>
      </c>
      <c r="J170"/>
      <c r="K170"/>
      <c r="M170" s="12"/>
      <c r="N170" s="19"/>
    </row>
    <row r="171" spans="1:14" x14ac:dyDescent="0.2">
      <c r="A171" s="311"/>
      <c r="B171" s="114"/>
      <c r="C171" s="308"/>
      <c r="J171"/>
      <c r="K171"/>
      <c r="M171" s="12"/>
      <c r="N171" s="19"/>
    </row>
    <row r="172" spans="1:14" x14ac:dyDescent="0.2">
      <c r="A172" s="62" t="s">
        <v>323</v>
      </c>
      <c r="B172" s="199">
        <f>B167+B168+B170</f>
        <v>24350</v>
      </c>
      <c r="C172" s="63">
        <f>B172/$F$73</f>
        <v>0.31872286261014487</v>
      </c>
      <c r="J172"/>
      <c r="K172"/>
      <c r="M172" s="12"/>
      <c r="N172" s="19"/>
    </row>
    <row r="173" spans="1:14" x14ac:dyDescent="0.2">
      <c r="A173" t="s">
        <v>319</v>
      </c>
      <c r="B173" s="43">
        <f>F73-B172</f>
        <v>52048.661208638834</v>
      </c>
      <c r="C173" s="63">
        <f>B173/$F$73</f>
        <v>0.68127713738985507</v>
      </c>
      <c r="J173"/>
      <c r="K173"/>
      <c r="M173" s="12"/>
      <c r="N173" s="19"/>
    </row>
    <row r="174" spans="1:14" x14ac:dyDescent="0.2">
      <c r="B174" s="1"/>
      <c r="J174"/>
      <c r="K174"/>
      <c r="M174" s="12"/>
      <c r="N174" s="19"/>
    </row>
    <row r="175" spans="1:14" x14ac:dyDescent="0.2">
      <c r="A175" s="62" t="s">
        <v>320</v>
      </c>
      <c r="B175" s="264"/>
      <c r="C175" s="289" t="s">
        <v>324</v>
      </c>
      <c r="J175"/>
      <c r="K175"/>
      <c r="M175" s="12"/>
      <c r="N175" s="19"/>
    </row>
    <row r="176" spans="1:14" x14ac:dyDescent="0.2">
      <c r="A176" t="s">
        <v>27</v>
      </c>
      <c r="B176" s="43">
        <f>B167+B168</f>
        <v>5500</v>
      </c>
      <c r="C176" s="63">
        <f>B176/$B$178</f>
        <v>0.22587268993839835</v>
      </c>
      <c r="J176"/>
      <c r="K176"/>
      <c r="M176" s="12"/>
      <c r="N176" s="19"/>
    </row>
    <row r="177" spans="1:14" x14ac:dyDescent="0.2">
      <c r="A177" s="40" t="s">
        <v>32</v>
      </c>
      <c r="B177" s="114">
        <f>B170</f>
        <v>18850</v>
      </c>
      <c r="C177" s="308">
        <f>B177/$B$178</f>
        <v>0.77412731006160163</v>
      </c>
      <c r="J177"/>
      <c r="K177"/>
      <c r="M177" s="12"/>
      <c r="N177" s="19"/>
    </row>
    <row r="178" spans="1:14" x14ac:dyDescent="0.2">
      <c r="A178" t="s">
        <v>323</v>
      </c>
      <c r="B178" s="199">
        <f>SUM(B176:B177)</f>
        <v>24350</v>
      </c>
      <c r="C178" s="63">
        <f>SUM(C176:C177)</f>
        <v>1</v>
      </c>
      <c r="J178"/>
      <c r="K178"/>
      <c r="M178" s="12"/>
      <c r="N178" s="19"/>
    </row>
  </sheetData>
  <mergeCells count="2">
    <mergeCell ref="B82:E82"/>
    <mergeCell ref="A52:A53"/>
  </mergeCells>
  <phoneticPr fontId="25" type="noConversion"/>
  <printOptions gridLines="1" gridLinesSet="0"/>
  <pageMargins left="0.39370078740157483" right="0.39370078740157483" top="0.39370078740157483" bottom="0.39370078740157483" header="0.51181102362204722" footer="0.51181102362204722"/>
  <pageSetup paperSize="9" scale="65" orientation="portrait" r:id="rId1"/>
  <headerFooter alignWithMargins="0">
    <oddFooter>&amp;L&amp;6&amp;F&amp;C&amp;6&amp;A &amp;R&amp;6Kontakt: matthias.zuercher@faw.admin.ch</oddFooter>
  </headerFooter>
  <cellWatches>
    <cellWatch r="D29"/>
  </cellWatche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VarCashflow">
    <tabColor rgb="FFFF66CC"/>
  </sheetPr>
  <dimension ref="A1:O56"/>
  <sheetViews>
    <sheetView zoomScale="90" zoomScaleNormal="90" workbookViewId="0">
      <selection activeCell="K15" sqref="K15"/>
    </sheetView>
  </sheetViews>
  <sheetFormatPr baseColWidth="10" defaultColWidth="11.42578125" defaultRowHeight="12.75" x14ac:dyDescent="0.2"/>
  <cols>
    <col min="1" max="1" width="33.7109375" customWidth="1"/>
    <col min="2" max="2" width="5.7109375" customWidth="1"/>
    <col min="3" max="3" width="21.5703125" customWidth="1"/>
    <col min="4" max="4" width="18.28515625" customWidth="1"/>
    <col min="5" max="5" width="20.7109375" customWidth="1"/>
    <col min="6" max="6" width="15.28515625" customWidth="1"/>
    <col min="7" max="7" width="15.7109375" customWidth="1"/>
    <col min="8" max="8" width="12.7109375" customWidth="1"/>
    <col min="9" max="10" width="13.7109375" customWidth="1"/>
    <col min="11" max="11" width="14.85546875" customWidth="1"/>
  </cols>
  <sheetData>
    <row r="1" spans="1:10" ht="42.75" customHeight="1" x14ac:dyDescent="0.4">
      <c r="A1" s="346" t="str">
        <f>'Var Vorgaben'!A1</f>
        <v>Arbokost 2024</v>
      </c>
      <c r="B1" s="575"/>
      <c r="C1" s="618" t="str">
        <f>'Var Erstellung'!B1</f>
        <v>Tafelkirsche</v>
      </c>
      <c r="D1" s="328"/>
      <c r="E1" s="328"/>
      <c r="F1" s="328"/>
      <c r="G1" s="577"/>
      <c r="H1" s="328"/>
      <c r="I1" s="328"/>
      <c r="J1" s="328"/>
    </row>
    <row r="2" spans="1:10" ht="21.75" customHeight="1" x14ac:dyDescent="0.25">
      <c r="A2" s="1100" t="s">
        <v>362</v>
      </c>
      <c r="B2" s="328"/>
      <c r="C2" s="619">
        <f>'Var Erstellung'!B2</f>
        <v>900</v>
      </c>
      <c r="D2" s="328"/>
      <c r="E2" s="328"/>
      <c r="F2" s="339"/>
      <c r="G2" s="328"/>
      <c r="H2" s="328"/>
      <c r="I2" s="328"/>
      <c r="J2" s="328"/>
    </row>
    <row r="3" spans="1:10" ht="24" customHeight="1" x14ac:dyDescent="0.3">
      <c r="A3" s="384"/>
      <c r="B3" s="579"/>
      <c r="C3" s="619"/>
      <c r="D3" s="580"/>
      <c r="E3" s="620"/>
      <c r="F3" s="339"/>
      <c r="G3" s="328"/>
      <c r="H3" s="328"/>
      <c r="I3" s="328"/>
      <c r="J3" s="328"/>
    </row>
    <row r="4" spans="1:10" s="1" customFormat="1" ht="23.25" x14ac:dyDescent="0.35">
      <c r="A4" s="1104" t="s">
        <v>361</v>
      </c>
      <c r="B4" s="1105"/>
      <c r="C4" s="1105"/>
      <c r="D4" s="1105"/>
      <c r="E4" s="1105"/>
      <c r="F4" s="1106"/>
      <c r="G4" s="1106"/>
      <c r="H4" s="1106"/>
      <c r="I4" s="1095"/>
      <c r="J4" s="1095"/>
    </row>
    <row r="5" spans="1:10" s="1" customFormat="1" ht="20.25" x14ac:dyDescent="0.3">
      <c r="A5" s="128"/>
      <c r="B5" s="72"/>
      <c r="F5" s="395"/>
      <c r="G5" s="395"/>
      <c r="H5" s="395"/>
    </row>
    <row r="6" spans="1:10" s="1" customFormat="1" ht="20.25" x14ac:dyDescent="0.3">
      <c r="A6" s="128"/>
      <c r="B6" s="72"/>
      <c r="G6" s="129"/>
    </row>
    <row r="7" spans="1:10" s="1" customFormat="1" ht="20.25" x14ac:dyDescent="0.3">
      <c r="A7" s="128"/>
      <c r="B7" s="72"/>
      <c r="G7" s="129"/>
    </row>
    <row r="8" spans="1:10" s="1" customFormat="1" ht="20.25" x14ac:dyDescent="0.3">
      <c r="A8" s="128"/>
      <c r="B8" s="72"/>
      <c r="G8" s="129"/>
    </row>
    <row r="9" spans="1:10" s="1" customFormat="1" ht="20.25" x14ac:dyDescent="0.3">
      <c r="A9" s="128"/>
      <c r="B9" s="72"/>
      <c r="G9" s="129"/>
    </row>
    <row r="10" spans="1:10" s="1" customFormat="1" ht="20.25" x14ac:dyDescent="0.3">
      <c r="A10" s="128"/>
      <c r="B10" s="72"/>
      <c r="G10" s="129"/>
    </row>
    <row r="11" spans="1:10" s="1" customFormat="1" ht="20.25" x14ac:dyDescent="0.3">
      <c r="A11" s="128"/>
      <c r="B11" s="72"/>
      <c r="G11" s="129"/>
    </row>
    <row r="12" spans="1:10" s="1" customFormat="1" ht="20.25" x14ac:dyDescent="0.3">
      <c r="A12" s="128"/>
      <c r="B12" s="72"/>
      <c r="G12" s="129"/>
    </row>
    <row r="13" spans="1:10" s="1" customFormat="1" ht="20.25" x14ac:dyDescent="0.3">
      <c r="A13" s="128"/>
      <c r="B13" s="72"/>
      <c r="G13" s="129"/>
    </row>
    <row r="14" spans="1:10" s="1" customFormat="1" ht="20.25" x14ac:dyDescent="0.3">
      <c r="A14" s="128"/>
      <c r="B14" s="72"/>
      <c r="G14" s="129"/>
    </row>
    <row r="15" spans="1:10" s="1" customFormat="1" ht="20.25" x14ac:dyDescent="0.3">
      <c r="A15" s="128"/>
      <c r="B15" s="72"/>
      <c r="G15" s="129"/>
    </row>
    <row r="16" spans="1:10" s="1" customFormat="1" ht="20.25" x14ac:dyDescent="0.3">
      <c r="A16" s="128"/>
      <c r="B16" s="72"/>
      <c r="G16" s="129"/>
    </row>
    <row r="17" spans="1:15" s="1" customFormat="1" ht="20.25" x14ac:dyDescent="0.3">
      <c r="A17" s="128"/>
      <c r="B17" s="72"/>
      <c r="G17" s="129"/>
    </row>
    <row r="18" spans="1:15" s="1" customFormat="1" ht="20.25" x14ac:dyDescent="0.3">
      <c r="A18" s="72"/>
      <c r="B18" s="72"/>
      <c r="G18" s="129"/>
    </row>
    <row r="19" spans="1:15" ht="150.75" customHeight="1" x14ac:dyDescent="0.3">
      <c r="A19" s="70"/>
      <c r="B19" s="70"/>
      <c r="G19" s="83"/>
    </row>
    <row r="21" spans="1:15" ht="25.5" customHeight="1" x14ac:dyDescent="0.3">
      <c r="A21" s="25" t="s">
        <v>365</v>
      </c>
      <c r="B21" s="70"/>
      <c r="D21" s="1"/>
      <c r="E21" s="582" t="str">
        <f>'Var Vorgaben'!B20</f>
        <v xml:space="preserve"> 22+ mm</v>
      </c>
      <c r="F21" s="582" t="str">
        <f>'Var Vorgaben'!C20</f>
        <v xml:space="preserve"> Abgang</v>
      </c>
    </row>
    <row r="22" spans="1:15" ht="28.5" customHeight="1" x14ac:dyDescent="0.3">
      <c r="A22" s="25"/>
      <c r="B22" s="70"/>
      <c r="D22" s="1"/>
      <c r="E22" s="61">
        <f>'Var 1.-16. Standjahr'!E8</f>
        <v>8.1999999999999993</v>
      </c>
      <c r="F22" s="61">
        <f>'Var 1.-16. Standjahr'!E9</f>
        <v>0</v>
      </c>
    </row>
    <row r="23" spans="1:15" ht="18.75" x14ac:dyDescent="0.3">
      <c r="A23" s="3"/>
      <c r="B23" s="3"/>
      <c r="C23" s="1"/>
      <c r="D23" s="386"/>
    </row>
    <row r="24" spans="1:15" ht="39.75" customHeight="1" x14ac:dyDescent="0.25">
      <c r="A24" s="795"/>
      <c r="B24" s="782"/>
      <c r="C24" s="793" t="s">
        <v>349</v>
      </c>
      <c r="D24" s="780"/>
      <c r="E24" s="780"/>
      <c r="F24" s="780"/>
      <c r="G24" s="780"/>
      <c r="H24" s="781"/>
      <c r="I24" s="781"/>
      <c r="J24" s="782"/>
    </row>
    <row r="25" spans="1:15" ht="20.25" customHeight="1" x14ac:dyDescent="0.2">
      <c r="A25" s="790"/>
      <c r="B25" s="791"/>
      <c r="C25" s="794" t="s">
        <v>79</v>
      </c>
      <c r="D25" s="784" t="s">
        <v>327</v>
      </c>
      <c r="E25" s="784" t="s">
        <v>90</v>
      </c>
      <c r="F25" s="784" t="s">
        <v>329</v>
      </c>
      <c r="G25" s="784" t="s">
        <v>328</v>
      </c>
      <c r="H25" s="784" t="s">
        <v>59</v>
      </c>
      <c r="I25" s="785" t="s">
        <v>80</v>
      </c>
      <c r="J25" s="786" t="s">
        <v>72</v>
      </c>
    </row>
    <row r="26" spans="1:15" ht="15" x14ac:dyDescent="0.25">
      <c r="A26" s="752" t="s">
        <v>81</v>
      </c>
      <c r="B26" s="740">
        <v>0</v>
      </c>
      <c r="C26" s="815">
        <f>'Var 1.-16. Standjahr'!F76</f>
        <v>-90890.014449999988</v>
      </c>
      <c r="D26" s="741">
        <v>0</v>
      </c>
      <c r="E26" s="741">
        <f>C26*(-1)</f>
        <v>90890.014449999988</v>
      </c>
      <c r="F26" s="741">
        <f>D26-E26</f>
        <v>-90890.014449999988</v>
      </c>
      <c r="G26" s="742">
        <f>D26/E26</f>
        <v>0</v>
      </c>
      <c r="H26" s="741"/>
      <c r="I26" s="741"/>
      <c r="J26" s="743">
        <f>('Var 1.-16. Standjahr'!F76)*(-1)</f>
        <v>90890.014449999988</v>
      </c>
      <c r="K26" s="8"/>
      <c r="L26" s="8"/>
      <c r="M26" s="8"/>
      <c r="N26" s="8"/>
      <c r="O26" s="47"/>
    </row>
    <row r="27" spans="1:15" ht="15" x14ac:dyDescent="0.25">
      <c r="A27" s="752" t="s">
        <v>82</v>
      </c>
      <c r="B27" s="740">
        <v>1</v>
      </c>
      <c r="C27" s="815">
        <f>'Var 1.-16. Standjahr'!F77</f>
        <v>-100259.56031338332</v>
      </c>
      <c r="D27" s="741">
        <f>'Var 1.-16. Standjahr'!F12</f>
        <v>2700</v>
      </c>
      <c r="E27" s="741">
        <f>'Var 1.-16. Standjahr'!F73</f>
        <v>12069.545863383335</v>
      </c>
      <c r="F27" s="741">
        <f t="shared" ref="F27:F42" si="0">D27-E27</f>
        <v>-9369.545863383335</v>
      </c>
      <c r="G27" s="742">
        <f t="shared" ref="G27:G42" si="1">D27/E27</f>
        <v>0.22370352874595531</v>
      </c>
      <c r="H27" s="744">
        <f>'Var 1.-16. Standjahr'!D10</f>
        <v>0</v>
      </c>
      <c r="I27" s="745">
        <f t="shared" ref="I27:I42" si="2">H27/$C$2</f>
        <v>0</v>
      </c>
      <c r="J27" s="746">
        <f>'Var 1.-16. Standjahr'!F78</f>
        <v>100259.56031338332</v>
      </c>
      <c r="K27" s="97"/>
      <c r="L27" s="1"/>
      <c r="M27" s="43"/>
      <c r="N27" s="43"/>
      <c r="O27" s="31"/>
    </row>
    <row r="28" spans="1:15" ht="15" x14ac:dyDescent="0.25">
      <c r="A28" s="752" t="s">
        <v>44</v>
      </c>
      <c r="B28" s="740">
        <v>2</v>
      </c>
      <c r="C28" s="815">
        <f>'Var 1.-16. Standjahr'!M77</f>
        <v>-109760.93208953711</v>
      </c>
      <c r="D28" s="741">
        <f>'Var 1.-16. Standjahr'!M12</f>
        <v>2700</v>
      </c>
      <c r="E28" s="741">
        <f>'Var 1.-16. Standjahr'!M73</f>
        <v>12201.371776153783</v>
      </c>
      <c r="F28" s="741">
        <f t="shared" si="0"/>
        <v>-9501.3717761537828</v>
      </c>
      <c r="G28" s="742">
        <f t="shared" si="1"/>
        <v>0.22128659379733417</v>
      </c>
      <c r="H28" s="744">
        <f>'Var 1.-16. Standjahr'!K10</f>
        <v>0</v>
      </c>
      <c r="I28" s="745">
        <f t="shared" si="2"/>
        <v>0</v>
      </c>
      <c r="J28" s="746">
        <f>'Var 1.-16. Standjahr'!M78</f>
        <v>109760.93208953711</v>
      </c>
      <c r="K28" s="212"/>
      <c r="L28" s="61"/>
      <c r="M28" s="1"/>
      <c r="N28" s="1"/>
    </row>
    <row r="29" spans="1:15" ht="15" x14ac:dyDescent="0.25">
      <c r="A29" s="752" t="s">
        <v>45</v>
      </c>
      <c r="B29" s="740">
        <v>3</v>
      </c>
      <c r="C29" s="815">
        <f>'Var 1.-16. Standjahr'!T77</f>
        <v>-184635.76350879166</v>
      </c>
      <c r="D29" s="741">
        <f>'Var 1.-16. Standjahr'!T12</f>
        <v>10781.100000000002</v>
      </c>
      <c r="E29" s="741">
        <f>'Var 1.-16. Standjahr'!T73</f>
        <v>85655.931419254557</v>
      </c>
      <c r="F29" s="741">
        <f t="shared" si="0"/>
        <v>-74874.831419254551</v>
      </c>
      <c r="G29" s="742">
        <f t="shared" si="1"/>
        <v>0.12586518903437577</v>
      </c>
      <c r="H29" s="744">
        <f>'Var 1.-16. Standjahr'!R10</f>
        <v>1095</v>
      </c>
      <c r="I29" s="745">
        <f t="shared" si="2"/>
        <v>1.2166666666666666</v>
      </c>
      <c r="J29" s="746">
        <f>'Var 1.-16. Standjahr'!T78</f>
        <v>184635.76350879166</v>
      </c>
      <c r="K29" s="764"/>
      <c r="L29" s="61"/>
      <c r="M29" s="1"/>
      <c r="N29" s="165"/>
    </row>
    <row r="30" spans="1:15" ht="15" x14ac:dyDescent="0.25">
      <c r="A30" s="752" t="s">
        <v>46</v>
      </c>
      <c r="B30" s="740">
        <v>4</v>
      </c>
      <c r="C30" s="815">
        <f>'Var 1.-16. Standjahr'!AA77</f>
        <v>-188625.62539126823</v>
      </c>
      <c r="D30" s="741">
        <f>'Var 1.-16. Standjahr'!AA12</f>
        <v>29637.000000000004</v>
      </c>
      <c r="E30" s="741">
        <f>'Var 1.-16. Standjahr'!AA73</f>
        <v>33626.861882476558</v>
      </c>
      <c r="F30" s="741">
        <f t="shared" si="0"/>
        <v>-3989.8618824765545</v>
      </c>
      <c r="G30" s="742">
        <f t="shared" si="1"/>
        <v>0.88134896748852654</v>
      </c>
      <c r="H30" s="744">
        <f>'Var 1.-16. Standjahr'!Y10</f>
        <v>3650</v>
      </c>
      <c r="I30" s="745">
        <f t="shared" si="2"/>
        <v>4.0555555555555554</v>
      </c>
      <c r="J30" s="746">
        <f>'Var 1.-16. Standjahr'!AA78</f>
        <v>188625.62539126823</v>
      </c>
      <c r="K30" s="761"/>
      <c r="L30" s="7"/>
      <c r="M30" s="1"/>
      <c r="N30" s="1"/>
    </row>
    <row r="31" spans="1:15" ht="15" x14ac:dyDescent="0.25">
      <c r="A31" s="752" t="s">
        <v>47</v>
      </c>
      <c r="B31" s="740">
        <v>5</v>
      </c>
      <c r="C31" s="815">
        <f>'Var 1.-16. Standjahr'!AH77</f>
        <v>-167067.87717363582</v>
      </c>
      <c r="D31" s="741">
        <f>'Var 1.-16. Standjahr'!AH12</f>
        <v>76500.000000000015</v>
      </c>
      <c r="E31" s="741">
        <f>'Var 1.-16. Standjahr'!AH73</f>
        <v>54942.251782367573</v>
      </c>
      <c r="F31" s="741">
        <f t="shared" si="0"/>
        <v>21557.748217632441</v>
      </c>
      <c r="G31" s="742">
        <f t="shared" si="1"/>
        <v>1.392371035374107</v>
      </c>
      <c r="H31" s="744">
        <f>'Var 1.-16. Standjahr'!AF10</f>
        <v>10000</v>
      </c>
      <c r="I31" s="745">
        <f t="shared" si="2"/>
        <v>11.111111111111111</v>
      </c>
      <c r="J31" s="746">
        <f>'Var 1.-16. Standjahr'!AH78</f>
        <v>172906.8232753292</v>
      </c>
      <c r="K31" s="761"/>
      <c r="L31" s="1"/>
      <c r="M31" s="1"/>
      <c r="N31" s="1"/>
    </row>
    <row r="32" spans="1:15" ht="15" x14ac:dyDescent="0.25">
      <c r="A32" s="752" t="s">
        <v>48</v>
      </c>
      <c r="B32" s="740">
        <v>6</v>
      </c>
      <c r="C32" s="815">
        <f>'Var 1.-16. Standjahr'!AO77</f>
        <v>-146790.68614512158</v>
      </c>
      <c r="D32" s="741">
        <f>'Var 1.-16. Standjahr'!AO12</f>
        <v>76500.000000000015</v>
      </c>
      <c r="E32" s="741">
        <f>'Var 1.-16. Standjahr'!AO73</f>
        <v>56222.808971485792</v>
      </c>
      <c r="F32" s="741">
        <f t="shared" si="0"/>
        <v>20277.191028514222</v>
      </c>
      <c r="G32" s="742">
        <f t="shared" si="1"/>
        <v>1.3606577365922448</v>
      </c>
      <c r="H32" s="744">
        <f>'Var 1.-16. Standjahr'!AM10</f>
        <v>10000</v>
      </c>
      <c r="I32" s="745">
        <f t="shared" si="2"/>
        <v>11.111111111111111</v>
      </c>
      <c r="J32" s="746">
        <f>'Var 1.-16. Standjahr'!AO78</f>
        <v>157188.02115939016</v>
      </c>
      <c r="K32" s="97"/>
      <c r="L32" s="7"/>
      <c r="M32" s="1"/>
      <c r="N32" s="166"/>
    </row>
    <row r="33" spans="1:15" ht="15" x14ac:dyDescent="0.25">
      <c r="A33" s="752" t="s">
        <v>49</v>
      </c>
      <c r="B33" s="740">
        <v>7</v>
      </c>
      <c r="C33" s="815">
        <f>'Var 1.-16. Standjahr'!AV77</f>
        <v>-124856.4234742738</v>
      </c>
      <c r="D33" s="741">
        <f>'Var 1.-16. Standjahr'!AV12</f>
        <v>76500.000000000015</v>
      </c>
      <c r="E33" s="741">
        <f>'Var 1.-16. Standjahr'!AV73</f>
        <v>54565.737329152253</v>
      </c>
      <c r="F33" s="741">
        <f t="shared" si="0"/>
        <v>21934.262670847762</v>
      </c>
      <c r="G33" s="742">
        <f t="shared" si="1"/>
        <v>1.401978672780239</v>
      </c>
      <c r="H33" s="744">
        <f>'Var 1.-16. Standjahr'!AT10</f>
        <v>10000</v>
      </c>
      <c r="I33" s="745">
        <f t="shared" si="2"/>
        <v>11.111111111111111</v>
      </c>
      <c r="J33" s="746">
        <f>'Var 1.-16. Standjahr'!AV78</f>
        <v>141469.21904345113</v>
      </c>
      <c r="K33" s="761"/>
      <c r="L33" s="7"/>
      <c r="M33" s="1"/>
      <c r="N33" s="1"/>
      <c r="O33" s="1"/>
    </row>
    <row r="34" spans="1:15" ht="15" x14ac:dyDescent="0.25">
      <c r="A34" s="752" t="s">
        <v>50</v>
      </c>
      <c r="B34" s="740">
        <v>8</v>
      </c>
      <c r="C34" s="815">
        <f>'Var 1.-16. Standjahr'!BC77</f>
        <v>-102724.75243938841</v>
      </c>
      <c r="D34" s="741">
        <f>'Var 1.-16. Standjahr'!BC12</f>
        <v>76500.000000000015</v>
      </c>
      <c r="E34" s="741">
        <f>'Var 1.-16. Standjahr'!BC73</f>
        <v>54368.328965114619</v>
      </c>
      <c r="F34" s="741">
        <f t="shared" si="0"/>
        <v>22131.671034885396</v>
      </c>
      <c r="G34" s="742">
        <f t="shared" si="1"/>
        <v>1.4070691789899623</v>
      </c>
      <c r="H34" s="744">
        <f>'Var 1.-16. Standjahr'!BA10</f>
        <v>10000</v>
      </c>
      <c r="I34" s="745">
        <f t="shared" si="2"/>
        <v>11.111111111111111</v>
      </c>
      <c r="J34" s="746">
        <f>'Var 1.-16. Standjahr'!BC78</f>
        <v>125750.41692751211</v>
      </c>
      <c r="K34" s="765"/>
      <c r="L34" s="7"/>
      <c r="M34" s="1"/>
      <c r="N34" s="1"/>
      <c r="O34" s="1"/>
    </row>
    <row r="35" spans="1:15" ht="15" x14ac:dyDescent="0.25">
      <c r="A35" s="752" t="s">
        <v>51</v>
      </c>
      <c r="B35" s="740">
        <v>9</v>
      </c>
      <c r="C35" s="815">
        <f>'Var 1.-16. Standjahr'!BJ77</f>
        <v>-126537.48618826595</v>
      </c>
      <c r="D35" s="741">
        <f>'Var 1.-16. Standjahr'!BJ12</f>
        <v>76500.000000000015</v>
      </c>
      <c r="E35" s="741">
        <f>'Var 1.-16. Standjahr'!BJ73</f>
        <v>100312.73374887757</v>
      </c>
      <c r="F35" s="741">
        <f t="shared" si="0"/>
        <v>-23812.733748877552</v>
      </c>
      <c r="G35" s="742">
        <f t="shared" si="1"/>
        <v>0.76261504537908176</v>
      </c>
      <c r="H35" s="744">
        <f>'Var 1.-16. Standjahr'!BH10</f>
        <v>10000</v>
      </c>
      <c r="I35" s="745">
        <f t="shared" si="2"/>
        <v>11.111111111111111</v>
      </c>
      <c r="J35" s="746">
        <f>'Var 1.-16. Standjahr'!BJ78</f>
        <v>110031.61481157309</v>
      </c>
      <c r="K35" s="765"/>
      <c r="L35" s="7"/>
      <c r="M35" s="1"/>
      <c r="N35" s="1"/>
      <c r="O35" s="1"/>
    </row>
    <row r="36" spans="1:15" ht="15" x14ac:dyDescent="0.25">
      <c r="A36" s="752" t="s">
        <v>52</v>
      </c>
      <c r="B36" s="740">
        <v>10</v>
      </c>
      <c r="C36" s="815">
        <f>'Var 1.-16. Standjahr'!BQ77</f>
        <v>-109000.75471780649</v>
      </c>
      <c r="D36" s="741">
        <f>'Var 1.-16. Standjahr'!BQ12</f>
        <v>76500.000000000015</v>
      </c>
      <c r="E36" s="741">
        <f>'Var 1.-16. Standjahr'!BQ73</f>
        <v>58963.268529540546</v>
      </c>
      <c r="F36" s="741">
        <f t="shared" si="0"/>
        <v>17536.731470459468</v>
      </c>
      <c r="G36" s="742">
        <f t="shared" si="1"/>
        <v>1.2974178994448651</v>
      </c>
      <c r="H36" s="744">
        <f>'Var 1.-16. Standjahr'!BO10</f>
        <v>10000</v>
      </c>
      <c r="I36" s="745">
        <f t="shared" si="2"/>
        <v>11.111111111111111</v>
      </c>
      <c r="J36" s="746">
        <f>'Var 1.-16. Standjahr'!BQ78</f>
        <v>94312.812695634071</v>
      </c>
      <c r="K36" s="765"/>
      <c r="L36" s="7"/>
      <c r="M36" s="1"/>
      <c r="N36" s="1"/>
      <c r="O36" s="1"/>
    </row>
    <row r="37" spans="1:15" ht="15" x14ac:dyDescent="0.25">
      <c r="A37" s="752" t="s">
        <v>53</v>
      </c>
      <c r="B37" s="740">
        <v>11</v>
      </c>
      <c r="C37" s="815">
        <f>'Var 1.-16. Standjahr'!BX77</f>
        <v>-86726.382664112884</v>
      </c>
      <c r="D37" s="741">
        <f>'Var 1.-16. Standjahr'!BX12</f>
        <v>76500.000000000015</v>
      </c>
      <c r="E37" s="741">
        <f>'Var 1.-16. Standjahr'!BX73</f>
        <v>54225.627946306413</v>
      </c>
      <c r="F37" s="741">
        <f t="shared" si="0"/>
        <v>22274.372053693602</v>
      </c>
      <c r="G37" s="742">
        <f t="shared" si="1"/>
        <v>1.4107720444611436</v>
      </c>
      <c r="H37" s="744">
        <f>'Var 1.-16. Standjahr'!BV10</f>
        <v>10000</v>
      </c>
      <c r="I37" s="745">
        <f t="shared" si="2"/>
        <v>11.111111111111111</v>
      </c>
      <c r="J37" s="746">
        <f>'Var 1.-16. Standjahr'!BX78</f>
        <v>78594.010579695052</v>
      </c>
      <c r="K37" s="765"/>
      <c r="L37" s="9"/>
    </row>
    <row r="38" spans="1:15" ht="15" x14ac:dyDescent="0.25">
      <c r="A38" s="752" t="s">
        <v>54</v>
      </c>
      <c r="B38" s="740">
        <v>12</v>
      </c>
      <c r="C38" s="815">
        <f>'Var 1.-16. Standjahr'!CE77</f>
        <v>-65726.118185012965</v>
      </c>
      <c r="D38" s="741">
        <f>'Var 1.-16. Standjahr'!CE12</f>
        <v>76500.000000000015</v>
      </c>
      <c r="E38" s="741">
        <f>'Var 1.-16. Standjahr'!CE73</f>
        <v>55499.735520900096</v>
      </c>
      <c r="F38" s="741">
        <f t="shared" si="0"/>
        <v>21000.264479099918</v>
      </c>
      <c r="G38" s="742">
        <f t="shared" si="1"/>
        <v>1.3783849469191007</v>
      </c>
      <c r="H38" s="744">
        <f>'Var 1.-16. Standjahr'!CC10</f>
        <v>10000</v>
      </c>
      <c r="I38" s="745">
        <f t="shared" si="2"/>
        <v>11.111111111111111</v>
      </c>
      <c r="J38" s="746">
        <f>'Var 1.-16. Standjahr'!CE78</f>
        <v>62875.208463756033</v>
      </c>
      <c r="K38" s="765"/>
      <c r="L38" s="9"/>
    </row>
    <row r="39" spans="1:15" ht="15" x14ac:dyDescent="0.25">
      <c r="A39" s="752" t="s">
        <v>55</v>
      </c>
      <c r="B39" s="740">
        <v>13</v>
      </c>
      <c r="C39" s="815">
        <f>'Var 1.-16. Standjahr'!CL77</f>
        <v>-43062.274402524214</v>
      </c>
      <c r="D39" s="741">
        <f>'Var 1.-16. Standjahr'!CL12</f>
        <v>76500.000000000015</v>
      </c>
      <c r="E39" s="741">
        <f>'Var 1.-16. Standjahr'!CL73</f>
        <v>53836.15621751127</v>
      </c>
      <c r="F39" s="741">
        <f t="shared" si="0"/>
        <v>22663.843782488744</v>
      </c>
      <c r="G39" s="742">
        <f t="shared" si="1"/>
        <v>1.4209781190715263</v>
      </c>
      <c r="H39" s="744">
        <f>'Var 1.-16. Standjahr'!CJ10</f>
        <v>10000</v>
      </c>
      <c r="I39" s="745">
        <f t="shared" si="2"/>
        <v>11.111111111111111</v>
      </c>
      <c r="J39" s="746">
        <f>'Var 1.-16. Standjahr'!CL78</f>
        <v>47156.406347817014</v>
      </c>
      <c r="K39" s="765"/>
      <c r="L39" s="9"/>
    </row>
    <row r="40" spans="1:15" ht="15" x14ac:dyDescent="0.25">
      <c r="A40" s="752" t="s">
        <v>56</v>
      </c>
      <c r="B40" s="740">
        <v>14</v>
      </c>
      <c r="C40" s="815">
        <f>'Var 1.-16. Standjahr'!CS77</f>
        <v>-20194.456025993073</v>
      </c>
      <c r="D40" s="741">
        <f>'Var 1.-16. Standjahr'!CS12</f>
        <v>76500.000000000015</v>
      </c>
      <c r="E40" s="741">
        <f>'Var 1.-16. Standjahr'!CS73</f>
        <v>53632.181623468874</v>
      </c>
      <c r="F40" s="741">
        <f t="shared" si="0"/>
        <v>22867.818376531141</v>
      </c>
      <c r="G40" s="742">
        <f t="shared" si="1"/>
        <v>1.4263824010941302</v>
      </c>
      <c r="H40" s="744">
        <f>'Var 1.-16. Standjahr'!CQ10</f>
        <v>10000</v>
      </c>
      <c r="I40" s="745">
        <f t="shared" si="2"/>
        <v>11.111111111111111</v>
      </c>
      <c r="J40" s="746">
        <f>'Var 1.-16. Standjahr'!CS78</f>
        <v>31437.604231877995</v>
      </c>
      <c r="K40" s="765"/>
      <c r="L40" s="9"/>
    </row>
    <row r="41" spans="1:15" ht="15" x14ac:dyDescent="0.25">
      <c r="A41" s="752" t="s">
        <v>57</v>
      </c>
      <c r="B41" s="740">
        <v>15</v>
      </c>
      <c r="C41" s="815">
        <f>'Var 1.-16. Standjahr'!CZ77</f>
        <v>1404.5957928499265</v>
      </c>
      <c r="D41" s="741">
        <f>'Var 1.-16. Standjahr'!CZ12</f>
        <v>76500.000000000015</v>
      </c>
      <c r="E41" s="741">
        <f>'Var 1.-16. Standjahr'!CZ73</f>
        <v>54900.948181157015</v>
      </c>
      <c r="F41" s="741">
        <f t="shared" si="0"/>
        <v>21599.051818843</v>
      </c>
      <c r="G41" s="742">
        <f t="shared" si="1"/>
        <v>1.3934185571362532</v>
      </c>
      <c r="H41" s="744">
        <f>'Var 1.-16. Standjahr'!CX10</f>
        <v>10000</v>
      </c>
      <c r="I41" s="745">
        <f t="shared" si="2"/>
        <v>11.111111111111111</v>
      </c>
      <c r="J41" s="746">
        <f>'Var 1.-16. Standjahr'!CZ78</f>
        <v>15718.802115938975</v>
      </c>
      <c r="K41" s="9"/>
      <c r="L41" s="9"/>
    </row>
    <row r="42" spans="1:15" ht="15" x14ac:dyDescent="0.25">
      <c r="A42" s="753" t="s">
        <v>179</v>
      </c>
      <c r="B42" s="747">
        <v>16</v>
      </c>
      <c r="C42" s="816">
        <f>'Var 1.-16. Standjahr'!DG77</f>
        <v>18672.616001139439</v>
      </c>
      <c r="D42" s="748">
        <f>'Var 1.-16. Standjahr'!DG12</f>
        <v>76500.000000000015</v>
      </c>
      <c r="E42" s="748">
        <f>'Var 1.-16. Standjahr'!DG73</f>
        <v>59231.979791710502</v>
      </c>
      <c r="F42" s="748">
        <f t="shared" si="0"/>
        <v>17268.020208289512</v>
      </c>
      <c r="G42" s="749">
        <f t="shared" si="1"/>
        <v>1.2915320451724317</v>
      </c>
      <c r="H42" s="748">
        <f>'Var 1.-16. Standjahr'!DE10</f>
        <v>10000</v>
      </c>
      <c r="I42" s="750">
        <f t="shared" si="2"/>
        <v>11.111111111111111</v>
      </c>
      <c r="J42" s="751">
        <f>'Var 1.-16. Standjahr'!DG78</f>
        <v>-4.3655745685100555E-11</v>
      </c>
    </row>
    <row r="43" spans="1:15" x14ac:dyDescent="0.2">
      <c r="B43" s="1"/>
      <c r="C43" s="43"/>
      <c r="D43" s="8"/>
      <c r="E43" s="8"/>
      <c r="F43" s="8"/>
      <c r="G43" s="8"/>
      <c r="H43" s="1"/>
      <c r="I43" s="1"/>
      <c r="J43" s="1"/>
    </row>
    <row r="44" spans="1:15" ht="15" x14ac:dyDescent="0.2">
      <c r="A44" s="25" t="s">
        <v>84</v>
      </c>
    </row>
    <row r="46" spans="1:15" ht="33.75" customHeight="1" x14ac:dyDescent="0.3">
      <c r="A46" s="767" t="s">
        <v>194</v>
      </c>
      <c r="B46" s="624"/>
      <c r="C46" s="627"/>
      <c r="D46" s="768">
        <f>C42</f>
        <v>18672.616001139439</v>
      </c>
    </row>
    <row r="47" spans="1:15" s="1" customFormat="1" ht="16.5" x14ac:dyDescent="0.25">
      <c r="A47" s="621"/>
      <c r="B47" s="621"/>
      <c r="C47" s="622"/>
      <c r="D47" s="623"/>
    </row>
    <row r="48" spans="1:15" ht="21.75" customHeight="1" x14ac:dyDescent="0.25">
      <c r="A48" s="624" t="s">
        <v>85</v>
      </c>
      <c r="B48" s="625"/>
      <c r="C48" s="476"/>
      <c r="D48" s="626">
        <f>'Var Ertragsphase'!F79</f>
        <v>24.996730252905863</v>
      </c>
    </row>
    <row r="49" spans="1:5" x14ac:dyDescent="0.2">
      <c r="A49" t="s">
        <v>86</v>
      </c>
      <c r="B49" s="12"/>
      <c r="D49" s="19">
        <f>'Var Ertragsphase'!D68</f>
        <v>1099.3333333333335</v>
      </c>
    </row>
    <row r="50" spans="1:5" ht="18.75" customHeight="1" x14ac:dyDescent="0.2">
      <c r="A50" t="s">
        <v>87</v>
      </c>
      <c r="D50" s="32">
        <f>2700/D49</f>
        <v>2.4560339599757426</v>
      </c>
      <c r="E50" t="s">
        <v>88</v>
      </c>
    </row>
    <row r="51" spans="1:5" ht="22.7" customHeight="1" x14ac:dyDescent="0.2">
      <c r="A51" t="s">
        <v>89</v>
      </c>
    </row>
    <row r="53" spans="1:5" ht="15.75" x14ac:dyDescent="0.25">
      <c r="A53" s="617" t="s">
        <v>90</v>
      </c>
      <c r="B53" s="617" t="str">
        <f>'Var Vorgaben'!B20</f>
        <v xml:space="preserve"> 22+ mm</v>
      </c>
      <c r="C53" s="656"/>
      <c r="D53" s="1318">
        <f>'Var Ertragsphase'!F88</f>
        <v>8.4887401342932023</v>
      </c>
    </row>
    <row r="54" spans="1:5" ht="15.75" x14ac:dyDescent="0.25">
      <c r="A54" s="617" t="s">
        <v>91</v>
      </c>
      <c r="B54" s="617" t="str">
        <f>'Var Vorgaben'!C20</f>
        <v xml:space="preserve"> Abgang</v>
      </c>
      <c r="C54" s="656"/>
      <c r="D54" s="1318">
        <f>'Var Ertragsphase'!F89</f>
        <v>0</v>
      </c>
    </row>
    <row r="55" spans="1:5" ht="15.75" x14ac:dyDescent="0.25">
      <c r="A55" s="462"/>
    </row>
    <row r="56" spans="1:5" ht="15.75" x14ac:dyDescent="0.25">
      <c r="A56" s="462"/>
    </row>
  </sheetData>
  <phoneticPr fontId="25" type="noConversion"/>
  <printOptions gridLines="1" gridLinesSet="0"/>
  <pageMargins left="0.78740157480314965" right="0.78740157480314965" top="0.98425196850393704" bottom="0.98425196850393704" header="0.51181102362204722" footer="0.51181102362204722"/>
  <pageSetup paperSize="9" scale="75" orientation="landscape" r:id="rId1"/>
  <headerFooter alignWithMargins="0">
    <oddFooter>&amp;L&amp;6&amp;F&amp;C&amp;6&amp;A  &amp;R&amp;6Kontakt: matthias.zuercher@faw.admin.ch</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Vorgaben">
    <tabColor rgb="FF00359E"/>
  </sheetPr>
  <dimension ref="A1:Y195"/>
  <sheetViews>
    <sheetView zoomScale="90" zoomScaleNormal="90" zoomScaleSheetLayoutView="70" workbookViewId="0">
      <selection activeCell="G11" sqref="G11"/>
    </sheetView>
  </sheetViews>
  <sheetFormatPr baseColWidth="10" defaultColWidth="11.42578125" defaultRowHeight="12.75" x14ac:dyDescent="0.2"/>
  <cols>
    <col min="1" max="1" width="32.7109375" customWidth="1"/>
    <col min="2" max="2" width="32.85546875" customWidth="1"/>
    <col min="3" max="3" width="23.42578125" style="132" bestFit="1" customWidth="1"/>
    <col min="4" max="4" width="22.42578125" style="12" bestFit="1" customWidth="1"/>
    <col min="5" max="5" width="28" style="12" bestFit="1" customWidth="1"/>
    <col min="6" max="6" width="22.42578125" style="12" bestFit="1" customWidth="1"/>
    <col min="7" max="7" width="25.5703125" bestFit="1" customWidth="1"/>
    <col min="8" max="8" width="81.42578125" bestFit="1" customWidth="1"/>
    <col min="9" max="9" width="23.42578125" bestFit="1" customWidth="1"/>
    <col min="10" max="10" width="4.42578125" customWidth="1"/>
    <col min="11" max="11" width="5.85546875" customWidth="1"/>
    <col min="12" max="12" width="6.42578125" customWidth="1"/>
    <col min="14" max="14" width="16" bestFit="1" customWidth="1"/>
  </cols>
  <sheetData>
    <row r="1" spans="1:14" ht="44.45" customHeight="1" x14ac:dyDescent="0.4">
      <c r="A1" s="346" t="s">
        <v>587</v>
      </c>
      <c r="B1" s="331" t="str">
        <f>B8</f>
        <v>Tafelkirsche</v>
      </c>
      <c r="C1" s="340"/>
      <c r="D1" s="336"/>
      <c r="E1" s="566"/>
      <c r="F1" s="333"/>
      <c r="G1" s="567"/>
      <c r="H1" s="328"/>
    </row>
    <row r="2" spans="1:14" s="1" customFormat="1" ht="27" customHeight="1" x14ac:dyDescent="0.35">
      <c r="A2" s="430" t="s">
        <v>238</v>
      </c>
      <c r="B2" s="566">
        <f>B11</f>
        <v>900</v>
      </c>
      <c r="C2" s="328"/>
      <c r="D2" s="328"/>
      <c r="E2" s="328"/>
      <c r="F2" s="568"/>
      <c r="G2" s="569"/>
      <c r="H2" s="328"/>
      <c r="J2"/>
      <c r="K2"/>
      <c r="L2"/>
      <c r="M2"/>
      <c r="N2"/>
    </row>
    <row r="3" spans="1:14" s="1" customFormat="1" ht="54" customHeight="1" x14ac:dyDescent="0.2">
      <c r="A3" s="329" t="s">
        <v>239</v>
      </c>
      <c r="B3" s="1376" t="s">
        <v>268</v>
      </c>
      <c r="C3" s="1400"/>
      <c r="D3" s="1400"/>
      <c r="E3" s="1400"/>
      <c r="F3" s="1400"/>
      <c r="G3" s="1400"/>
      <c r="H3" s="328"/>
      <c r="J3"/>
      <c r="K3"/>
      <c r="L3"/>
      <c r="M3"/>
      <c r="N3"/>
    </row>
    <row r="4" spans="1:14" s="1" customFormat="1" ht="19.5" customHeight="1" x14ac:dyDescent="0.2">
      <c r="A4" s="325"/>
      <c r="B4" s="326"/>
      <c r="C4" s="327"/>
      <c r="D4" s="327"/>
      <c r="E4" s="327"/>
      <c r="F4" s="327"/>
      <c r="G4" s="327"/>
      <c r="J4"/>
      <c r="K4"/>
      <c r="L4"/>
      <c r="M4"/>
      <c r="N4"/>
    </row>
    <row r="5" spans="1:14" s="1" customFormat="1" ht="33.75" customHeight="1" x14ac:dyDescent="0.4">
      <c r="A5" s="1401" t="s">
        <v>356</v>
      </c>
      <c r="B5" s="1402"/>
      <c r="C5" s="1397" t="s">
        <v>585</v>
      </c>
      <c r="D5" s="1398"/>
      <c r="E5" s="1398"/>
      <c r="F5" s="1398"/>
      <c r="G5" s="1398"/>
      <c r="H5" s="485"/>
      <c r="J5"/>
      <c r="K5"/>
      <c r="L5"/>
      <c r="M5"/>
      <c r="N5"/>
    </row>
    <row r="6" spans="1:14" ht="14.25" x14ac:dyDescent="0.2">
      <c r="H6" s="707" t="s">
        <v>126</v>
      </c>
    </row>
    <row r="7" spans="1:14" ht="26.25" x14ac:dyDescent="0.4">
      <c r="A7" s="346" t="s">
        <v>147</v>
      </c>
      <c r="B7" s="353"/>
      <c r="C7" s="354"/>
      <c r="D7" s="355"/>
      <c r="E7" s="356"/>
      <c r="F7" s="355"/>
      <c r="G7" s="357"/>
      <c r="H7" s="367"/>
    </row>
    <row r="8" spans="1:14" s="1" customFormat="1" ht="15" x14ac:dyDescent="0.25">
      <c r="A8" s="381" t="s">
        <v>148</v>
      </c>
      <c r="B8" s="527" t="s">
        <v>169</v>
      </c>
      <c r="C8" s="489"/>
      <c r="D8" s="378"/>
      <c r="E8" s="378"/>
      <c r="F8" s="378"/>
      <c r="G8" s="378"/>
      <c r="H8" s="380"/>
      <c r="J8"/>
      <c r="K8"/>
      <c r="L8"/>
      <c r="M8"/>
      <c r="N8"/>
    </row>
    <row r="9" spans="1:14" s="1" customFormat="1" ht="15" x14ac:dyDescent="0.25">
      <c r="A9" s="381" t="s">
        <v>250</v>
      </c>
      <c r="B9" s="527" t="s">
        <v>359</v>
      </c>
      <c r="C9" s="380"/>
      <c r="D9" s="378"/>
      <c r="E9" s="378"/>
      <c r="F9" s="378"/>
      <c r="G9" s="378"/>
      <c r="H9" s="380"/>
      <c r="J9"/>
      <c r="K9"/>
      <c r="L9"/>
      <c r="M9"/>
      <c r="N9"/>
    </row>
    <row r="10" spans="1:14" s="1" customFormat="1" ht="15" x14ac:dyDescent="0.25">
      <c r="A10" s="381" t="s">
        <v>149</v>
      </c>
      <c r="B10" s="527" t="s">
        <v>473</v>
      </c>
      <c r="C10" s="378"/>
      <c r="D10" s="378"/>
      <c r="E10" s="378"/>
      <c r="F10" s="378"/>
      <c r="G10" s="380"/>
      <c r="H10" s="380"/>
      <c r="J10"/>
      <c r="K10"/>
      <c r="L10"/>
      <c r="M10"/>
      <c r="N10"/>
    </row>
    <row r="11" spans="1:14" s="1" customFormat="1" ht="15" x14ac:dyDescent="0.25">
      <c r="A11" s="381" t="s">
        <v>14</v>
      </c>
      <c r="B11" s="677">
        <f>'Standard Erstellung'!E16</f>
        <v>900</v>
      </c>
      <c r="C11" s="378"/>
      <c r="D11" s="490"/>
      <c r="E11" s="491"/>
      <c r="F11" s="491"/>
      <c r="G11" s="378"/>
      <c r="H11" s="378"/>
      <c r="J11"/>
      <c r="K11"/>
      <c r="L11"/>
      <c r="M11"/>
      <c r="N11"/>
    </row>
    <row r="12" spans="1:14" s="1" customFormat="1" ht="15" x14ac:dyDescent="0.25">
      <c r="A12" s="381" t="s">
        <v>150</v>
      </c>
      <c r="B12" s="527" t="s">
        <v>7</v>
      </c>
      <c r="C12" s="492"/>
      <c r="D12" s="490"/>
      <c r="E12" s="491"/>
      <c r="F12" s="491"/>
      <c r="G12" s="378"/>
      <c r="H12" s="378"/>
      <c r="J12"/>
      <c r="K12"/>
      <c r="L12"/>
      <c r="M12"/>
      <c r="N12"/>
    </row>
    <row r="13" spans="1:14" s="1" customFormat="1" ht="15" x14ac:dyDescent="0.25">
      <c r="A13" s="381" t="s">
        <v>358</v>
      </c>
      <c r="B13" s="527" t="s">
        <v>515</v>
      </c>
      <c r="C13" s="528"/>
      <c r="D13" s="587"/>
      <c r="E13" s="495"/>
      <c r="F13" s="491"/>
      <c r="G13" s="18"/>
      <c r="H13" s="18"/>
      <c r="J13"/>
      <c r="K13"/>
      <c r="L13"/>
      <c r="M13"/>
      <c r="N13"/>
    </row>
    <row r="14" spans="1:14" s="1" customFormat="1" ht="15" x14ac:dyDescent="0.25">
      <c r="A14" s="381" t="s">
        <v>64</v>
      </c>
      <c r="B14" s="496" t="s">
        <v>95</v>
      </c>
      <c r="C14" s="380"/>
      <c r="D14" s="493"/>
      <c r="E14" s="494"/>
      <c r="F14" s="494"/>
      <c r="G14" s="24"/>
      <c r="H14" s="24"/>
      <c r="J14"/>
      <c r="K14"/>
      <c r="L14"/>
      <c r="M14"/>
      <c r="N14"/>
    </row>
    <row r="15" spans="1:14" ht="15" x14ac:dyDescent="0.25">
      <c r="A15" s="381" t="s">
        <v>241</v>
      </c>
      <c r="B15" s="496" t="s">
        <v>584</v>
      </c>
      <c r="C15" s="529" t="s">
        <v>376</v>
      </c>
      <c r="D15" s="1227">
        <v>6</v>
      </c>
      <c r="E15" s="378"/>
      <c r="F15" s="378"/>
      <c r="G15" s="378"/>
      <c r="H15" s="497"/>
    </row>
    <row r="16" spans="1:14" ht="15" x14ac:dyDescent="0.25">
      <c r="A16" s="381" t="s">
        <v>170</v>
      </c>
      <c r="B16" s="496" t="s">
        <v>96</v>
      </c>
      <c r="C16" s="498"/>
      <c r="D16" s="377"/>
      <c r="E16" s="378"/>
      <c r="F16" s="377"/>
      <c r="G16" s="377"/>
      <c r="H16" s="497"/>
    </row>
    <row r="17" spans="1:14" ht="15" x14ac:dyDescent="0.25">
      <c r="A17" s="381" t="s">
        <v>534</v>
      </c>
      <c r="B17" s="496" t="s">
        <v>514</v>
      </c>
      <c r="C17" s="529" t="s">
        <v>376</v>
      </c>
      <c r="D17" s="1227" t="s">
        <v>410</v>
      </c>
      <c r="E17" s="1215"/>
      <c r="F17" s="377"/>
      <c r="G17" s="377"/>
      <c r="H17" s="497"/>
    </row>
    <row r="18" spans="1:14" ht="15" x14ac:dyDescent="0.25">
      <c r="A18" s="381" t="s">
        <v>164</v>
      </c>
      <c r="B18" s="496" t="s">
        <v>96</v>
      </c>
      <c r="C18" s="498"/>
      <c r="D18" s="377"/>
      <c r="E18" s="378"/>
      <c r="F18" s="377"/>
      <c r="G18" s="377"/>
      <c r="H18" s="497"/>
    </row>
    <row r="19" spans="1:14" ht="33.75" customHeight="1" x14ac:dyDescent="0.25">
      <c r="A19" s="1382" t="s">
        <v>444</v>
      </c>
      <c r="B19" s="1383"/>
      <c r="C19" s="380"/>
      <c r="D19" s="377"/>
      <c r="E19" s="378"/>
      <c r="F19" s="499"/>
      <c r="G19" s="378"/>
      <c r="H19" s="497"/>
    </row>
    <row r="20" spans="1:14" ht="15" x14ac:dyDescent="0.25">
      <c r="A20" s="381" t="s">
        <v>254</v>
      </c>
      <c r="B20" s="495" t="s">
        <v>462</v>
      </c>
      <c r="C20" s="495" t="s">
        <v>463</v>
      </c>
      <c r="F20" s="499"/>
      <c r="G20" s="378"/>
      <c r="H20" s="497"/>
    </row>
    <row r="21" spans="1:14" ht="15" customHeight="1" x14ac:dyDescent="0.25">
      <c r="A21" s="497"/>
      <c r="B21" s="380"/>
      <c r="C21" s="378"/>
      <c r="D21" s="377"/>
      <c r="E21" s="378"/>
      <c r="F21" s="501"/>
      <c r="G21" s="378"/>
      <c r="H21" s="497"/>
    </row>
    <row r="22" spans="1:14" ht="15" x14ac:dyDescent="0.25">
      <c r="A22" s="382" t="s">
        <v>83</v>
      </c>
      <c r="B22" s="1229">
        <v>4</v>
      </c>
      <c r="C22" s="502"/>
      <c r="D22" s="377"/>
      <c r="E22" s="378"/>
      <c r="F22" s="494"/>
      <c r="G22" s="378"/>
      <c r="H22" s="497"/>
    </row>
    <row r="23" spans="1:14" s="1" customFormat="1" ht="15" thickBot="1" x14ac:dyDescent="0.25">
      <c r="A23" s="378" t="s">
        <v>93</v>
      </c>
      <c r="B23" s="1230">
        <v>16</v>
      </c>
      <c r="C23" s="378"/>
      <c r="D23" s="380"/>
      <c r="E23" s="380"/>
      <c r="F23" s="380"/>
      <c r="G23" s="380"/>
      <c r="H23" s="380"/>
      <c r="J23"/>
      <c r="K23"/>
      <c r="L23"/>
      <c r="M23"/>
      <c r="N23"/>
    </row>
    <row r="24" spans="1:14" s="1" customFormat="1" ht="15" x14ac:dyDescent="0.25">
      <c r="A24" s="383" t="s">
        <v>10</v>
      </c>
      <c r="B24" s="524">
        <f>B23-B22</f>
        <v>12</v>
      </c>
      <c r="C24" s="378"/>
      <c r="D24" s="500"/>
      <c r="E24" s="500"/>
      <c r="F24" s="500"/>
      <c r="G24" s="380"/>
      <c r="H24" s="380"/>
      <c r="J24"/>
      <c r="K24"/>
      <c r="L24"/>
      <c r="M24"/>
      <c r="N24"/>
    </row>
    <row r="25" spans="1:14" s="1" customFormat="1" ht="14.25" x14ac:dyDescent="0.2">
      <c r="A25" s="380"/>
      <c r="B25" s="380"/>
      <c r="C25" s="378"/>
      <c r="D25" s="500"/>
      <c r="E25" s="500"/>
      <c r="F25" s="500"/>
      <c r="G25" s="380"/>
      <c r="H25" s="380"/>
      <c r="J25"/>
      <c r="K25"/>
      <c r="L25"/>
      <c r="M25"/>
      <c r="N25"/>
    </row>
    <row r="26" spans="1:14" s="1" customFormat="1" ht="15" x14ac:dyDescent="0.25">
      <c r="A26" s="381" t="s">
        <v>15</v>
      </c>
      <c r="B26" s="380" t="s">
        <v>16</v>
      </c>
      <c r="C26" s="1329">
        <v>22</v>
      </c>
      <c r="D26" s="496" t="s">
        <v>413</v>
      </c>
      <c r="E26" s="380"/>
      <c r="F26" s="380"/>
      <c r="G26" s="380"/>
      <c r="H26" s="97"/>
      <c r="J26"/>
      <c r="K26"/>
      <c r="L26"/>
      <c r="M26"/>
      <c r="N26"/>
    </row>
    <row r="27" spans="1:14" s="1" customFormat="1" ht="15" x14ac:dyDescent="0.25">
      <c r="A27" s="381" t="s">
        <v>104</v>
      </c>
      <c r="B27" s="497" t="s">
        <v>417</v>
      </c>
      <c r="C27" s="529">
        <v>41.4</v>
      </c>
      <c r="D27" s="380"/>
      <c r="E27" s="380"/>
      <c r="F27" s="380"/>
      <c r="G27" s="380"/>
      <c r="H27" s="97"/>
      <c r="J27"/>
      <c r="K27"/>
      <c r="L27"/>
      <c r="M27"/>
      <c r="N27"/>
    </row>
    <row r="28" spans="1:14" s="1" customFormat="1" ht="15" x14ac:dyDescent="0.25">
      <c r="A28" s="380"/>
      <c r="B28" s="497" t="s">
        <v>134</v>
      </c>
      <c r="C28" s="529">
        <v>24</v>
      </c>
      <c r="G28" s="504"/>
      <c r="H28" s="97"/>
      <c r="J28"/>
      <c r="K28"/>
      <c r="L28"/>
      <c r="M28"/>
      <c r="N28"/>
    </row>
    <row r="29" spans="1:14" s="1" customFormat="1" ht="15" thickBot="1" x14ac:dyDescent="0.25">
      <c r="A29" s="380"/>
      <c r="B29" s="380" t="s">
        <v>145</v>
      </c>
      <c r="C29" s="530">
        <v>21.5</v>
      </c>
      <c r="D29" s="1404" t="s">
        <v>379</v>
      </c>
      <c r="E29" s="1405"/>
      <c r="F29" s="531">
        <v>0.9</v>
      </c>
      <c r="G29" s="380"/>
      <c r="H29" s="97"/>
      <c r="J29"/>
      <c r="K29"/>
      <c r="L29"/>
      <c r="M29"/>
      <c r="N29"/>
    </row>
    <row r="30" spans="1:14" s="1" customFormat="1" ht="15" x14ac:dyDescent="0.25">
      <c r="A30" s="380"/>
      <c r="B30" s="497" t="s">
        <v>419</v>
      </c>
      <c r="C30" s="503">
        <f>(F29*C29)+(((1-F29)/2)*C28)+ (((1-F29)/2)*C27)</f>
        <v>22.62</v>
      </c>
      <c r="D30" s="505"/>
      <c r="E30" s="500"/>
      <c r="F30" s="500"/>
      <c r="G30" s="380"/>
      <c r="H30" s="97"/>
      <c r="J30"/>
      <c r="K30"/>
      <c r="L30"/>
      <c r="M30"/>
      <c r="N30"/>
    </row>
    <row r="31" spans="1:14" s="1" customFormat="1" ht="15" x14ac:dyDescent="0.25">
      <c r="A31" s="380"/>
      <c r="B31" s="497" t="s">
        <v>420</v>
      </c>
      <c r="C31" s="503">
        <f>AVERAGE(C27:C28)</f>
        <v>32.700000000000003</v>
      </c>
      <c r="D31" s="505"/>
      <c r="E31" s="500"/>
      <c r="F31" s="500"/>
      <c r="G31" s="380"/>
      <c r="H31" s="97"/>
      <c r="J31"/>
      <c r="K31"/>
      <c r="L31"/>
      <c r="M31"/>
      <c r="N31"/>
    </row>
    <row r="32" spans="1:14" s="1" customFormat="1" ht="14.25" x14ac:dyDescent="0.2">
      <c r="A32" s="380"/>
      <c r="B32" s="497" t="s">
        <v>442</v>
      </c>
      <c r="C32" s="498">
        <f>AVERAGE(C28:C29)</f>
        <v>22.75</v>
      </c>
      <c r="D32" s="505"/>
      <c r="E32" s="500"/>
      <c r="F32" s="500"/>
      <c r="G32" s="380"/>
      <c r="H32" s="97"/>
      <c r="J32"/>
      <c r="K32"/>
      <c r="L32"/>
      <c r="M32"/>
      <c r="N32"/>
    </row>
    <row r="33" spans="1:14" s="1" customFormat="1" ht="15" x14ac:dyDescent="0.25">
      <c r="A33" s="377" t="s">
        <v>363</v>
      </c>
      <c r="B33" s="380"/>
      <c r="C33" s="532">
        <v>6000</v>
      </c>
      <c r="D33" s="380"/>
      <c r="E33" s="380" t="s">
        <v>441</v>
      </c>
      <c r="F33" s="380" t="s">
        <v>195</v>
      </c>
      <c r="G33" s="1359">
        <v>325</v>
      </c>
      <c r="H33" s="776"/>
      <c r="J33"/>
      <c r="K33"/>
      <c r="L33"/>
      <c r="M33"/>
      <c r="N33"/>
    </row>
    <row r="34" spans="1:14" s="1" customFormat="1" ht="15" x14ac:dyDescent="0.25">
      <c r="A34" s="377" t="s">
        <v>567</v>
      </c>
      <c r="B34" s="380"/>
      <c r="C34" s="1330">
        <v>2700</v>
      </c>
      <c r="D34" s="380"/>
      <c r="E34" s="380"/>
      <c r="F34" s="380" t="s">
        <v>172</v>
      </c>
      <c r="G34" s="1360">
        <v>2.57</v>
      </c>
      <c r="H34" s="97"/>
      <c r="J34"/>
      <c r="K34"/>
      <c r="L34"/>
      <c r="M34"/>
      <c r="N34"/>
    </row>
    <row r="35" spans="1:14" s="1" customFormat="1" ht="15" x14ac:dyDescent="0.25">
      <c r="A35" s="377" t="s">
        <v>17</v>
      </c>
      <c r="C35" s="533">
        <v>1.4999999999999999E-2</v>
      </c>
      <c r="D35" s="380"/>
      <c r="E35" s="380"/>
      <c r="F35" s="380" t="s">
        <v>590</v>
      </c>
      <c r="G35" s="1361">
        <v>0.25</v>
      </c>
      <c r="H35" s="97"/>
      <c r="J35"/>
      <c r="K35"/>
      <c r="L35"/>
      <c r="M35"/>
      <c r="N35"/>
    </row>
    <row r="36" spans="1:14" ht="14.25" x14ac:dyDescent="0.2">
      <c r="A36" s="380" t="s">
        <v>202</v>
      </c>
      <c r="B36" s="497"/>
      <c r="C36" s="770">
        <v>0.6</v>
      </c>
      <c r="D36" s="505"/>
      <c r="E36" s="505"/>
      <c r="F36" s="505"/>
      <c r="G36" s="497"/>
      <c r="H36" s="84"/>
    </row>
    <row r="37" spans="1:14" ht="15" x14ac:dyDescent="0.25">
      <c r="A37" s="381" t="s">
        <v>184</v>
      </c>
      <c r="B37" s="497"/>
      <c r="C37" s="534">
        <v>660</v>
      </c>
      <c r="D37" s="505"/>
      <c r="E37" s="505"/>
      <c r="F37" s="505"/>
      <c r="G37" s="497"/>
      <c r="H37" s="84"/>
    </row>
    <row r="38" spans="1:14" ht="15" x14ac:dyDescent="0.25">
      <c r="A38" s="506"/>
      <c r="B38" s="497"/>
      <c r="C38" s="507"/>
      <c r="D38" s="505"/>
      <c r="E38" s="505"/>
      <c r="G38" s="497"/>
      <c r="H38" s="84"/>
    </row>
    <row r="39" spans="1:14" ht="26.25" x14ac:dyDescent="0.4">
      <c r="A39" s="358" t="s">
        <v>416</v>
      </c>
      <c r="B39" s="1333"/>
      <c r="C39" s="1334"/>
      <c r="D39" s="1335"/>
      <c r="E39" s="360"/>
      <c r="F39" s="779"/>
      <c r="G39" s="367"/>
      <c r="H39" s="367"/>
    </row>
    <row r="40" spans="1:14" x14ac:dyDescent="0.2">
      <c r="A40" s="294" t="s">
        <v>39</v>
      </c>
      <c r="B40" s="1336" t="str">
        <f>B20</f>
        <v xml:space="preserve"> 22+ mm</v>
      </c>
      <c r="C40" s="1336" t="str">
        <f>C20</f>
        <v xml:space="preserve"> Abgang</v>
      </c>
      <c r="D40" s="1336" t="s">
        <v>40</v>
      </c>
      <c r="E40" s="110" t="s">
        <v>41</v>
      </c>
      <c r="F40" s="379" t="s">
        <v>39</v>
      </c>
    </row>
    <row r="41" spans="1:14" x14ac:dyDescent="0.2">
      <c r="A41" s="252">
        <v>1</v>
      </c>
      <c r="B41" s="1337">
        <v>8.1999999999999993</v>
      </c>
      <c r="C41" s="1337">
        <v>0</v>
      </c>
      <c r="D41" s="1338">
        <v>0</v>
      </c>
      <c r="E41" s="1231">
        <f>D41/$B$11</f>
        <v>0</v>
      </c>
      <c r="F41" s="155">
        <v>1</v>
      </c>
    </row>
    <row r="42" spans="1:14" x14ac:dyDescent="0.2">
      <c r="A42" s="252">
        <v>2</v>
      </c>
      <c r="B42" s="1339">
        <f t="shared" ref="B42:B56" si="0">$B$41</f>
        <v>8.1999999999999993</v>
      </c>
      <c r="C42" s="1339">
        <f t="shared" ref="C42:C56" si="1">$C$41</f>
        <v>0</v>
      </c>
      <c r="D42" s="1338">
        <v>0</v>
      </c>
      <c r="E42" s="1231">
        <f>D42/$B$11</f>
        <v>0</v>
      </c>
      <c r="F42" s="155">
        <v>2</v>
      </c>
    </row>
    <row r="43" spans="1:14" x14ac:dyDescent="0.2">
      <c r="A43" s="252">
        <v>3</v>
      </c>
      <c r="B43" s="1339">
        <f t="shared" si="0"/>
        <v>8.1999999999999993</v>
      </c>
      <c r="C43" s="1339">
        <f t="shared" si="1"/>
        <v>0</v>
      </c>
      <c r="D43" s="1338">
        <v>1095</v>
      </c>
      <c r="E43" s="1231">
        <f>D43/$B$11</f>
        <v>1.2166666666666666</v>
      </c>
      <c r="F43" s="155">
        <v>3</v>
      </c>
    </row>
    <row r="44" spans="1:14" x14ac:dyDescent="0.2">
      <c r="A44" s="252">
        <v>4</v>
      </c>
      <c r="B44" s="1339">
        <f t="shared" si="0"/>
        <v>8.1999999999999993</v>
      </c>
      <c r="C44" s="1339">
        <f t="shared" si="1"/>
        <v>0</v>
      </c>
      <c r="D44" s="1338">
        <v>3650</v>
      </c>
      <c r="E44" s="1231">
        <f>D44/$B$11</f>
        <v>4.0555555555555554</v>
      </c>
      <c r="F44" s="155">
        <v>4</v>
      </c>
    </row>
    <row r="45" spans="1:14" x14ac:dyDescent="0.2">
      <c r="A45" s="62">
        <v>5</v>
      </c>
      <c r="B45" s="1339">
        <f t="shared" si="0"/>
        <v>8.1999999999999993</v>
      </c>
      <c r="C45" s="1339">
        <f t="shared" si="1"/>
        <v>0</v>
      </c>
      <c r="D45" s="1338">
        <v>10000</v>
      </c>
      <c r="E45" s="1231">
        <f>D45/$B$11</f>
        <v>11.111111111111111</v>
      </c>
      <c r="F45" s="155">
        <v>5</v>
      </c>
    </row>
    <row r="46" spans="1:14" x14ac:dyDescent="0.2">
      <c r="A46" s="62">
        <v>6</v>
      </c>
      <c r="B46" s="1339">
        <f t="shared" si="0"/>
        <v>8.1999999999999993</v>
      </c>
      <c r="C46" s="1339">
        <f t="shared" si="1"/>
        <v>0</v>
      </c>
      <c r="D46" s="1338">
        <v>10000</v>
      </c>
      <c r="E46" s="1231">
        <f t="shared" ref="E46:E56" si="2">D46/$B$11</f>
        <v>11.111111111111111</v>
      </c>
      <c r="F46" s="155">
        <v>6</v>
      </c>
    </row>
    <row r="47" spans="1:14" x14ac:dyDescent="0.2">
      <c r="A47" s="62">
        <v>7</v>
      </c>
      <c r="B47" s="1339">
        <f t="shared" si="0"/>
        <v>8.1999999999999993</v>
      </c>
      <c r="C47" s="1339">
        <f t="shared" si="1"/>
        <v>0</v>
      </c>
      <c r="D47" s="1338">
        <v>10000</v>
      </c>
      <c r="E47" s="1231">
        <f t="shared" si="2"/>
        <v>11.111111111111111</v>
      </c>
      <c r="F47" s="155">
        <v>7</v>
      </c>
    </row>
    <row r="48" spans="1:14" x14ac:dyDescent="0.2">
      <c r="A48" s="62">
        <v>8</v>
      </c>
      <c r="B48" s="1339">
        <f t="shared" si="0"/>
        <v>8.1999999999999993</v>
      </c>
      <c r="C48" s="1339">
        <f t="shared" si="1"/>
        <v>0</v>
      </c>
      <c r="D48" s="1338">
        <v>10000</v>
      </c>
      <c r="E48" s="1231">
        <f t="shared" si="2"/>
        <v>11.111111111111111</v>
      </c>
      <c r="F48" s="155">
        <v>8</v>
      </c>
    </row>
    <row r="49" spans="1:8" x14ac:dyDescent="0.2">
      <c r="A49" s="62">
        <v>9</v>
      </c>
      <c r="B49" s="1339">
        <f t="shared" si="0"/>
        <v>8.1999999999999993</v>
      </c>
      <c r="C49" s="1339">
        <f t="shared" si="1"/>
        <v>0</v>
      </c>
      <c r="D49" s="1338">
        <v>10000</v>
      </c>
      <c r="E49" s="1231">
        <f t="shared" si="2"/>
        <v>11.111111111111111</v>
      </c>
      <c r="F49" s="155">
        <v>9</v>
      </c>
    </row>
    <row r="50" spans="1:8" x14ac:dyDescent="0.2">
      <c r="A50" s="62">
        <v>10</v>
      </c>
      <c r="B50" s="1339">
        <f t="shared" si="0"/>
        <v>8.1999999999999993</v>
      </c>
      <c r="C50" s="1339">
        <f t="shared" si="1"/>
        <v>0</v>
      </c>
      <c r="D50" s="1338">
        <v>10000</v>
      </c>
      <c r="E50" s="1231">
        <f t="shared" si="2"/>
        <v>11.111111111111111</v>
      </c>
      <c r="F50" s="155">
        <v>10</v>
      </c>
    </row>
    <row r="51" spans="1:8" x14ac:dyDescent="0.2">
      <c r="A51" s="62">
        <v>11</v>
      </c>
      <c r="B51" s="1339">
        <f t="shared" si="0"/>
        <v>8.1999999999999993</v>
      </c>
      <c r="C51" s="1339">
        <f t="shared" si="1"/>
        <v>0</v>
      </c>
      <c r="D51" s="1338">
        <v>10000</v>
      </c>
      <c r="E51" s="1231">
        <f t="shared" si="2"/>
        <v>11.111111111111111</v>
      </c>
      <c r="F51" s="155">
        <v>11</v>
      </c>
    </row>
    <row r="52" spans="1:8" x14ac:dyDescent="0.2">
      <c r="A52" s="62">
        <v>12</v>
      </c>
      <c r="B52" s="1339">
        <f t="shared" si="0"/>
        <v>8.1999999999999993</v>
      </c>
      <c r="C52" s="1339">
        <f t="shared" si="1"/>
        <v>0</v>
      </c>
      <c r="D52" s="1338">
        <v>10000</v>
      </c>
      <c r="E52" s="1231">
        <f t="shared" si="2"/>
        <v>11.111111111111111</v>
      </c>
      <c r="F52" s="155">
        <v>12</v>
      </c>
    </row>
    <row r="53" spans="1:8" x14ac:dyDescent="0.2">
      <c r="A53" s="62">
        <v>13</v>
      </c>
      <c r="B53" s="1339">
        <f t="shared" si="0"/>
        <v>8.1999999999999993</v>
      </c>
      <c r="C53" s="1339">
        <f t="shared" si="1"/>
        <v>0</v>
      </c>
      <c r="D53" s="1338">
        <v>10000</v>
      </c>
      <c r="E53" s="1231">
        <f t="shared" si="2"/>
        <v>11.111111111111111</v>
      </c>
      <c r="F53" s="155">
        <v>13</v>
      </c>
    </row>
    <row r="54" spans="1:8" x14ac:dyDescent="0.2">
      <c r="A54" s="62">
        <v>14</v>
      </c>
      <c r="B54" s="1339">
        <f t="shared" si="0"/>
        <v>8.1999999999999993</v>
      </c>
      <c r="C54" s="1339">
        <f t="shared" si="1"/>
        <v>0</v>
      </c>
      <c r="D54" s="1338">
        <v>10000</v>
      </c>
      <c r="E54" s="1231">
        <f t="shared" si="2"/>
        <v>11.111111111111111</v>
      </c>
      <c r="F54" s="155">
        <v>14</v>
      </c>
    </row>
    <row r="55" spans="1:8" x14ac:dyDescent="0.2">
      <c r="A55" s="62">
        <v>15</v>
      </c>
      <c r="B55" s="1339">
        <f t="shared" si="0"/>
        <v>8.1999999999999993</v>
      </c>
      <c r="C55" s="1339">
        <f t="shared" si="1"/>
        <v>0</v>
      </c>
      <c r="D55" s="1338">
        <v>10000</v>
      </c>
      <c r="E55" s="1231">
        <f t="shared" si="2"/>
        <v>11.111111111111111</v>
      </c>
      <c r="F55" s="155">
        <v>15</v>
      </c>
    </row>
    <row r="56" spans="1:8" x14ac:dyDescent="0.2">
      <c r="A56" s="62">
        <v>16</v>
      </c>
      <c r="B56" s="1339">
        <f t="shared" si="0"/>
        <v>8.1999999999999993</v>
      </c>
      <c r="C56" s="1339">
        <f t="shared" si="1"/>
        <v>0</v>
      </c>
      <c r="D56" s="1338">
        <v>10000</v>
      </c>
      <c r="E56" s="1231">
        <f t="shared" si="2"/>
        <v>11.111111111111111</v>
      </c>
      <c r="F56" s="155">
        <v>16</v>
      </c>
    </row>
    <row r="57" spans="1:8" x14ac:dyDescent="0.2">
      <c r="A57" s="69" t="s">
        <v>173</v>
      </c>
      <c r="B57" s="20"/>
      <c r="C57" s="68"/>
      <c r="D57" s="95">
        <f>SUM(D41:D44)</f>
        <v>4745</v>
      </c>
      <c r="E57" s="108">
        <f>SUM(E41:E44)</f>
        <v>5.2722222222222221</v>
      </c>
      <c r="F57"/>
    </row>
    <row r="58" spans="1:8" x14ac:dyDescent="0.2">
      <c r="A58" s="69" t="s">
        <v>174</v>
      </c>
      <c r="B58" s="20"/>
      <c r="C58" s="68"/>
      <c r="D58" s="95">
        <f>SUM(D41:D56)</f>
        <v>124745</v>
      </c>
      <c r="E58" s="108">
        <f>SUM(E41:E56)</f>
        <v>138.60555555555558</v>
      </c>
      <c r="F58"/>
    </row>
    <row r="59" spans="1:8" x14ac:dyDescent="0.2">
      <c r="A59" s="69" t="s">
        <v>175</v>
      </c>
      <c r="B59" s="525">
        <f>AVERAGE(B45:B56)</f>
        <v>8.2000000000000011</v>
      </c>
      <c r="C59" s="525">
        <f>AVERAGE(C45:C56)</f>
        <v>0</v>
      </c>
      <c r="D59" s="95">
        <f>AVERAGE(D45:D56)</f>
        <v>10000</v>
      </c>
      <c r="E59" s="108">
        <f>AVERAGE(E45:E56)</f>
        <v>11.111111111111112</v>
      </c>
      <c r="F59"/>
    </row>
    <row r="60" spans="1:8" x14ac:dyDescent="0.2">
      <c r="A60" s="69" t="s">
        <v>176</v>
      </c>
      <c r="B60" s="525">
        <f>AVERAGE(B41:B56)</f>
        <v>8.2000000000000011</v>
      </c>
      <c r="C60" s="525">
        <f>AVERAGE(C41:C56)</f>
        <v>0</v>
      </c>
      <c r="D60" s="95">
        <f>AVERAGE(D41:D56)</f>
        <v>7796.5625</v>
      </c>
      <c r="E60" s="108">
        <f>AVERAGE(E41:E56)</f>
        <v>8.6628472222222239</v>
      </c>
      <c r="F60"/>
    </row>
    <row r="61" spans="1:8" x14ac:dyDescent="0.2">
      <c r="A61" s="1"/>
      <c r="B61" s="1151"/>
      <c r="C61" s="1151"/>
      <c r="D61" s="107"/>
      <c r="E61" s="95"/>
      <c r="F61" s="108"/>
      <c r="G61" s="1"/>
    </row>
    <row r="62" spans="1:8" ht="26.25" x14ac:dyDescent="0.4">
      <c r="A62" s="358" t="s">
        <v>171</v>
      </c>
      <c r="B62" s="1152"/>
      <c r="C62" s="1153"/>
      <c r="D62" s="359"/>
      <c r="E62" s="360"/>
      <c r="F62" s="361"/>
      <c r="G62" s="1374"/>
      <c r="H62" s="1375"/>
    </row>
    <row r="63" spans="1:8" x14ac:dyDescent="0.2">
      <c r="A63" s="294" t="s">
        <v>39</v>
      </c>
      <c r="B63" s="124" t="str">
        <f>B20</f>
        <v xml:space="preserve"> 22+ mm</v>
      </c>
      <c r="C63" s="124" t="str">
        <f>C20</f>
        <v xml:space="preserve"> Abgang</v>
      </c>
      <c r="D63" s="374" t="s">
        <v>42</v>
      </c>
      <c r="E63" s="121" t="s">
        <v>39</v>
      </c>
      <c r="H63" s="1"/>
    </row>
    <row r="64" spans="1:8" x14ac:dyDescent="0.2">
      <c r="B64" s="111" t="s">
        <v>62</v>
      </c>
      <c r="C64" s="111" t="s">
        <v>62</v>
      </c>
      <c r="D64" s="118" t="s">
        <v>69</v>
      </c>
      <c r="E64" s="100"/>
    </row>
    <row r="65" spans="1:5" x14ac:dyDescent="0.2">
      <c r="A65" s="253">
        <v>1</v>
      </c>
      <c r="B65" s="1331">
        <v>0.9</v>
      </c>
      <c r="C65" s="1331">
        <v>0.1</v>
      </c>
      <c r="D65" s="1332">
        <v>12</v>
      </c>
      <c r="E65" s="155">
        <v>1</v>
      </c>
    </row>
    <row r="66" spans="1:5" x14ac:dyDescent="0.2">
      <c r="A66" s="253">
        <v>2</v>
      </c>
      <c r="B66" s="105">
        <f t="shared" ref="B66:B80" si="3">$B$65</f>
        <v>0.9</v>
      </c>
      <c r="C66" s="295">
        <f t="shared" ref="C66:C80" si="4">$C$65</f>
        <v>0.1</v>
      </c>
      <c r="D66" s="678">
        <f t="shared" ref="D66:D80" si="5">$D$65</f>
        <v>12</v>
      </c>
      <c r="E66" s="155">
        <v>2</v>
      </c>
    </row>
    <row r="67" spans="1:5" x14ac:dyDescent="0.2">
      <c r="A67" s="253">
        <v>3</v>
      </c>
      <c r="B67" s="105">
        <f t="shared" si="3"/>
        <v>0.9</v>
      </c>
      <c r="C67" s="295">
        <f t="shared" si="4"/>
        <v>0.1</v>
      </c>
      <c r="D67" s="678">
        <f t="shared" si="5"/>
        <v>12</v>
      </c>
      <c r="E67" s="155">
        <v>3</v>
      </c>
    </row>
    <row r="68" spans="1:5" x14ac:dyDescent="0.2">
      <c r="A68" s="253">
        <v>4</v>
      </c>
      <c r="B68" s="105">
        <f t="shared" si="3"/>
        <v>0.9</v>
      </c>
      <c r="C68" s="295">
        <f t="shared" si="4"/>
        <v>0.1</v>
      </c>
      <c r="D68" s="678">
        <f t="shared" si="5"/>
        <v>12</v>
      </c>
      <c r="E68" s="155">
        <v>4</v>
      </c>
    </row>
    <row r="69" spans="1:5" x14ac:dyDescent="0.2">
      <c r="A69" s="62">
        <v>5</v>
      </c>
      <c r="B69" s="105">
        <f t="shared" si="3"/>
        <v>0.9</v>
      </c>
      <c r="C69" s="295">
        <f t="shared" si="4"/>
        <v>0.1</v>
      </c>
      <c r="D69" s="678">
        <f t="shared" si="5"/>
        <v>12</v>
      </c>
      <c r="E69" s="155">
        <v>5</v>
      </c>
    </row>
    <row r="70" spans="1:5" x14ac:dyDescent="0.2">
      <c r="A70" s="62">
        <v>6</v>
      </c>
      <c r="B70" s="105">
        <f t="shared" si="3"/>
        <v>0.9</v>
      </c>
      <c r="C70" s="295">
        <f t="shared" si="4"/>
        <v>0.1</v>
      </c>
      <c r="D70" s="678">
        <f t="shared" si="5"/>
        <v>12</v>
      </c>
      <c r="E70" s="155">
        <v>6</v>
      </c>
    </row>
    <row r="71" spans="1:5" x14ac:dyDescent="0.2">
      <c r="A71" s="62">
        <v>7</v>
      </c>
      <c r="B71" s="105">
        <f t="shared" si="3"/>
        <v>0.9</v>
      </c>
      <c r="C71" s="295">
        <f t="shared" si="4"/>
        <v>0.1</v>
      </c>
      <c r="D71" s="678">
        <f t="shared" si="5"/>
        <v>12</v>
      </c>
      <c r="E71" s="155">
        <v>7</v>
      </c>
    </row>
    <row r="72" spans="1:5" x14ac:dyDescent="0.2">
      <c r="A72" s="62">
        <v>8</v>
      </c>
      <c r="B72" s="105">
        <f t="shared" si="3"/>
        <v>0.9</v>
      </c>
      <c r="C72" s="295">
        <f t="shared" si="4"/>
        <v>0.1</v>
      </c>
      <c r="D72" s="678">
        <f t="shared" si="5"/>
        <v>12</v>
      </c>
      <c r="E72" s="155">
        <v>8</v>
      </c>
    </row>
    <row r="73" spans="1:5" x14ac:dyDescent="0.2">
      <c r="A73" s="62">
        <v>9</v>
      </c>
      <c r="B73" s="105">
        <f t="shared" si="3"/>
        <v>0.9</v>
      </c>
      <c r="C73" s="295">
        <f t="shared" si="4"/>
        <v>0.1</v>
      </c>
      <c r="D73" s="678">
        <f t="shared" si="5"/>
        <v>12</v>
      </c>
      <c r="E73" s="155">
        <v>9</v>
      </c>
    </row>
    <row r="74" spans="1:5" x14ac:dyDescent="0.2">
      <c r="A74" s="62">
        <v>10</v>
      </c>
      <c r="B74" s="105">
        <f t="shared" si="3"/>
        <v>0.9</v>
      </c>
      <c r="C74" s="295">
        <f t="shared" si="4"/>
        <v>0.1</v>
      </c>
      <c r="D74" s="678">
        <f t="shared" si="5"/>
        <v>12</v>
      </c>
      <c r="E74" s="155">
        <v>10</v>
      </c>
    </row>
    <row r="75" spans="1:5" x14ac:dyDescent="0.2">
      <c r="A75" s="62">
        <v>11</v>
      </c>
      <c r="B75" s="105">
        <f t="shared" si="3"/>
        <v>0.9</v>
      </c>
      <c r="C75" s="295">
        <f t="shared" si="4"/>
        <v>0.1</v>
      </c>
      <c r="D75" s="678">
        <f t="shared" si="5"/>
        <v>12</v>
      </c>
      <c r="E75" s="155">
        <v>11</v>
      </c>
    </row>
    <row r="76" spans="1:5" x14ac:dyDescent="0.2">
      <c r="A76" s="62">
        <v>12</v>
      </c>
      <c r="B76" s="105">
        <f t="shared" si="3"/>
        <v>0.9</v>
      </c>
      <c r="C76" s="295">
        <f t="shared" si="4"/>
        <v>0.1</v>
      </c>
      <c r="D76" s="678">
        <f t="shared" si="5"/>
        <v>12</v>
      </c>
      <c r="E76" s="155">
        <v>12</v>
      </c>
    </row>
    <row r="77" spans="1:5" x14ac:dyDescent="0.2">
      <c r="A77" s="62">
        <v>13</v>
      </c>
      <c r="B77" s="105">
        <f t="shared" si="3"/>
        <v>0.9</v>
      </c>
      <c r="C77" s="295">
        <f t="shared" si="4"/>
        <v>0.1</v>
      </c>
      <c r="D77" s="678">
        <f t="shared" si="5"/>
        <v>12</v>
      </c>
      <c r="E77" s="155">
        <v>13</v>
      </c>
    </row>
    <row r="78" spans="1:5" x14ac:dyDescent="0.2">
      <c r="A78" s="62">
        <v>14</v>
      </c>
      <c r="B78" s="105">
        <f t="shared" si="3"/>
        <v>0.9</v>
      </c>
      <c r="C78" s="295">
        <f t="shared" si="4"/>
        <v>0.1</v>
      </c>
      <c r="D78" s="678">
        <f t="shared" si="5"/>
        <v>12</v>
      </c>
      <c r="E78" s="155">
        <v>14</v>
      </c>
    </row>
    <row r="79" spans="1:5" x14ac:dyDescent="0.2">
      <c r="A79" s="62">
        <v>15</v>
      </c>
      <c r="B79" s="105">
        <f t="shared" si="3"/>
        <v>0.9</v>
      </c>
      <c r="C79" s="295">
        <f t="shared" si="4"/>
        <v>0.1</v>
      </c>
      <c r="D79" s="678">
        <f t="shared" si="5"/>
        <v>12</v>
      </c>
      <c r="E79" s="155">
        <v>15</v>
      </c>
    </row>
    <row r="80" spans="1:5" x14ac:dyDescent="0.2">
      <c r="A80" s="62">
        <v>16</v>
      </c>
      <c r="B80" s="105">
        <f t="shared" si="3"/>
        <v>0.9</v>
      </c>
      <c r="C80" s="295">
        <f t="shared" si="4"/>
        <v>0.1</v>
      </c>
      <c r="D80" s="678">
        <f t="shared" si="5"/>
        <v>12</v>
      </c>
      <c r="E80" s="155">
        <v>16</v>
      </c>
    </row>
    <row r="81" spans="1:14" x14ac:dyDescent="0.2">
      <c r="A81" s="69" t="s">
        <v>175</v>
      </c>
      <c r="B81" s="125">
        <f>AVERAGE(B69:B80)</f>
        <v>0.90000000000000024</v>
      </c>
      <c r="C81" s="125">
        <f>AVERAGE(C69:C80)</f>
        <v>9.9999999999999992E-2</v>
      </c>
      <c r="D81" s="526">
        <f>AVERAGE(D69:D80)</f>
        <v>12</v>
      </c>
      <c r="E81" s="95"/>
    </row>
    <row r="82" spans="1:14" x14ac:dyDescent="0.2">
      <c r="A82" s="69" t="s">
        <v>176</v>
      </c>
      <c r="B82" s="125">
        <f>AVERAGE(B65:B80)</f>
        <v>0.90000000000000024</v>
      </c>
      <c r="C82" s="125">
        <f>AVERAGE(C65:C80)</f>
        <v>0.10000000000000002</v>
      </c>
      <c r="D82" s="526">
        <f>AVERAGE(D65:D80)</f>
        <v>12</v>
      </c>
      <c r="E82" s="108"/>
    </row>
    <row r="83" spans="1:14" s="1" customFormat="1" x14ac:dyDescent="0.2">
      <c r="B83" s="107"/>
      <c r="C83" s="107"/>
      <c r="D83" s="107"/>
      <c r="E83" s="95"/>
      <c r="F83" s="108"/>
      <c r="I83" s="121"/>
      <c r="J83"/>
      <c r="K83"/>
      <c r="L83"/>
      <c r="M83"/>
      <c r="N83"/>
    </row>
    <row r="84" spans="1:14" s="1" customFormat="1" ht="26.25" x14ac:dyDescent="0.4">
      <c r="A84" s="346" t="s">
        <v>357</v>
      </c>
      <c r="B84" s="362"/>
      <c r="C84" s="362"/>
      <c r="D84" s="362"/>
      <c r="E84" s="363"/>
      <c r="F84" s="364"/>
      <c r="G84" s="1374"/>
      <c r="H84" s="1375"/>
      <c r="I84" s="121"/>
      <c r="J84"/>
      <c r="K84"/>
      <c r="L84"/>
      <c r="M84"/>
      <c r="N84"/>
    </row>
    <row r="85" spans="1:14" s="1" customFormat="1" ht="29.25" customHeight="1" x14ac:dyDescent="0.2">
      <c r="A85" s="1155"/>
      <c r="B85" s="212" t="s">
        <v>154</v>
      </c>
      <c r="C85" s="212" t="s">
        <v>155</v>
      </c>
      <c r="D85" s="511" t="s">
        <v>377</v>
      </c>
      <c r="E85" s="213" t="s">
        <v>156</v>
      </c>
      <c r="F85" s="214" t="s">
        <v>158</v>
      </c>
      <c r="G85" s="97" t="s">
        <v>159</v>
      </c>
      <c r="I85" s="121"/>
      <c r="J85"/>
      <c r="K85"/>
      <c r="L85"/>
      <c r="M85"/>
      <c r="N85"/>
    </row>
    <row r="86" spans="1:14" s="1" customFormat="1" ht="13.5" thickBot="1" x14ac:dyDescent="0.25">
      <c r="B86" s="215" t="s">
        <v>157</v>
      </c>
      <c r="C86" s="215" t="s">
        <v>157</v>
      </c>
      <c r="D86" s="215" t="s">
        <v>157</v>
      </c>
      <c r="E86" s="215" t="s">
        <v>157</v>
      </c>
      <c r="F86" s="215" t="s">
        <v>157</v>
      </c>
      <c r="G86" s="215" t="s">
        <v>157</v>
      </c>
      <c r="I86" s="121"/>
      <c r="J86"/>
      <c r="K86"/>
      <c r="L86"/>
      <c r="M86"/>
      <c r="N86"/>
    </row>
    <row r="87" spans="1:14" s="1" customFormat="1" x14ac:dyDescent="0.2">
      <c r="A87" s="104" t="s">
        <v>99</v>
      </c>
      <c r="B87" s="1325">
        <v>10</v>
      </c>
      <c r="C87" s="1325">
        <v>10</v>
      </c>
      <c r="D87" s="1325">
        <v>100</v>
      </c>
      <c r="E87" s="1325">
        <v>0</v>
      </c>
      <c r="F87" s="1326">
        <v>30</v>
      </c>
      <c r="G87" s="1327">
        <v>20</v>
      </c>
      <c r="I87" s="121"/>
      <c r="J87"/>
      <c r="K87"/>
      <c r="L87"/>
      <c r="M87"/>
      <c r="N87"/>
    </row>
    <row r="88" spans="1:14" s="1" customFormat="1" x14ac:dyDescent="0.2">
      <c r="A88" s="1" t="s">
        <v>121</v>
      </c>
      <c r="B88" s="1324">
        <v>10</v>
      </c>
      <c r="C88" s="1324">
        <v>10</v>
      </c>
      <c r="D88" s="1324">
        <v>60</v>
      </c>
      <c r="E88" s="1324">
        <v>0</v>
      </c>
      <c r="F88" s="1328">
        <v>10</v>
      </c>
      <c r="G88" s="1323">
        <v>20</v>
      </c>
      <c r="I88" s="121"/>
      <c r="J88"/>
      <c r="K88"/>
      <c r="L88"/>
      <c r="M88"/>
      <c r="N88"/>
    </row>
    <row r="89" spans="1:14" s="1" customFormat="1" x14ac:dyDescent="0.2">
      <c r="A89" s="1" t="s">
        <v>160</v>
      </c>
      <c r="B89" s="1324">
        <v>10</v>
      </c>
      <c r="C89" s="1324">
        <v>10</v>
      </c>
      <c r="D89" s="1324">
        <v>60</v>
      </c>
      <c r="E89" s="1324">
        <v>0</v>
      </c>
      <c r="F89" s="1328">
        <v>10</v>
      </c>
      <c r="G89" s="1323">
        <v>20</v>
      </c>
      <c r="I89" s="121"/>
      <c r="J89"/>
      <c r="K89"/>
      <c r="L89"/>
      <c r="M89"/>
      <c r="N89"/>
    </row>
    <row r="90" spans="1:14" s="1" customFormat="1" x14ac:dyDescent="0.2">
      <c r="A90" s="1" t="s">
        <v>221</v>
      </c>
      <c r="B90" s="211" t="s">
        <v>161</v>
      </c>
      <c r="C90" s="211"/>
      <c r="D90" s="211"/>
      <c r="E90" s="211"/>
      <c r="F90" s="108"/>
      <c r="I90" s="121"/>
      <c r="J90"/>
      <c r="K90"/>
      <c r="L90"/>
      <c r="M90"/>
      <c r="N90"/>
    </row>
    <row r="91" spans="1:14" s="1" customFormat="1" x14ac:dyDescent="0.2">
      <c r="B91" s="211"/>
      <c r="C91" s="211"/>
      <c r="D91" s="211"/>
      <c r="E91" s="211"/>
      <c r="F91" s="108"/>
      <c r="I91" s="121"/>
      <c r="J91"/>
      <c r="K91"/>
      <c r="L91"/>
      <c r="M91"/>
      <c r="N91"/>
    </row>
    <row r="92" spans="1:14" s="1" customFormat="1" ht="31.5" customHeight="1" x14ac:dyDescent="0.4">
      <c r="A92" s="1401" t="s">
        <v>360</v>
      </c>
      <c r="B92" s="1403"/>
      <c r="C92" s="1397"/>
      <c r="D92" s="1398"/>
      <c r="E92" s="1398"/>
      <c r="F92" s="1398"/>
      <c r="G92" s="1398"/>
      <c r="H92" s="485"/>
      <c r="J92"/>
      <c r="K92"/>
      <c r="L92"/>
      <c r="M92"/>
      <c r="N92"/>
    </row>
    <row r="93" spans="1:14" ht="12" customHeight="1" x14ac:dyDescent="0.2"/>
    <row r="94" spans="1:14" s="1" customFormat="1" ht="26.25" x14ac:dyDescent="0.4">
      <c r="A94" s="368" t="s">
        <v>120</v>
      </c>
      <c r="B94" s="365"/>
      <c r="C94" s="369"/>
      <c r="D94" s="370"/>
      <c r="E94" s="371"/>
      <c r="F94" s="371"/>
      <c r="G94" s="370"/>
      <c r="H94" s="367"/>
      <c r="J94"/>
      <c r="K94"/>
      <c r="L94"/>
      <c r="M94"/>
      <c r="N94"/>
    </row>
    <row r="95" spans="1:14" ht="25.5" x14ac:dyDescent="0.2">
      <c r="A95" s="1"/>
      <c r="B95" s="974" t="s">
        <v>588</v>
      </c>
      <c r="C95" s="1242" t="s">
        <v>553</v>
      </c>
      <c r="D95" s="1242" t="s">
        <v>548</v>
      </c>
      <c r="E95" s="1144"/>
      <c r="F95" s="1144"/>
      <c r="I95" s="24"/>
    </row>
    <row r="96" spans="1:14" x14ac:dyDescent="0.2">
      <c r="A96" s="372" t="s">
        <v>60</v>
      </c>
      <c r="B96" s="1319">
        <v>1.22</v>
      </c>
      <c r="C96" s="1320">
        <v>0.02</v>
      </c>
      <c r="D96" s="1320">
        <v>0.02</v>
      </c>
      <c r="I96" s="191"/>
    </row>
    <row r="97" spans="1:14" x14ac:dyDescent="0.2">
      <c r="A97" s="212"/>
      <c r="B97" s="1241"/>
      <c r="C97" s="1241"/>
      <c r="D97" s="1116"/>
      <c r="I97" s="191"/>
    </row>
    <row r="98" spans="1:14" x14ac:dyDescent="0.2">
      <c r="A98" s="373" t="s">
        <v>121</v>
      </c>
      <c r="B98" s="1322">
        <v>125</v>
      </c>
      <c r="C98" s="1321">
        <v>0</v>
      </c>
      <c r="D98" s="1322">
        <v>0</v>
      </c>
      <c r="I98" s="51"/>
    </row>
    <row r="99" spans="1:14" x14ac:dyDescent="0.2">
      <c r="A99" s="154" t="s">
        <v>180</v>
      </c>
      <c r="B99" s="1249">
        <v>1</v>
      </c>
      <c r="C99" s="1323">
        <v>0</v>
      </c>
      <c r="D99" s="1249">
        <v>0</v>
      </c>
      <c r="F99" s="1145"/>
      <c r="I99" s="51"/>
    </row>
    <row r="100" spans="1:14" x14ac:dyDescent="0.2">
      <c r="A100" s="373" t="s">
        <v>122</v>
      </c>
      <c r="B100" s="1322">
        <v>250</v>
      </c>
      <c r="C100" s="1321">
        <v>0</v>
      </c>
      <c r="D100" s="1322">
        <v>0</v>
      </c>
      <c r="I100" s="51"/>
    </row>
    <row r="101" spans="1:14" x14ac:dyDescent="0.2">
      <c r="A101" s="154" t="s">
        <v>180</v>
      </c>
      <c r="B101" s="1249">
        <v>1</v>
      </c>
      <c r="C101" s="1323">
        <v>0</v>
      </c>
      <c r="D101" s="1249">
        <v>0</v>
      </c>
      <c r="I101" s="51"/>
    </row>
    <row r="102" spans="1:14" x14ac:dyDescent="0.2">
      <c r="A102" s="373" t="s">
        <v>123</v>
      </c>
      <c r="B102" s="1322">
        <v>375</v>
      </c>
      <c r="C102" s="1321">
        <v>0</v>
      </c>
      <c r="D102" s="1322">
        <f>25000/3*2</f>
        <v>16666.666666666668</v>
      </c>
      <c r="I102" s="121"/>
    </row>
    <row r="103" spans="1:14" x14ac:dyDescent="0.2">
      <c r="A103" s="154" t="s">
        <v>180</v>
      </c>
      <c r="B103" s="1249">
        <v>1</v>
      </c>
      <c r="C103" s="1323">
        <v>0</v>
      </c>
      <c r="D103" s="1324">
        <f>33/3*2</f>
        <v>22</v>
      </c>
    </row>
    <row r="104" spans="1:14" x14ac:dyDescent="0.2">
      <c r="A104" s="1110" t="s">
        <v>555</v>
      </c>
      <c r="B104" s="1322">
        <v>375</v>
      </c>
      <c r="C104" s="1321">
        <f>20000/3*2</f>
        <v>13333.333333333334</v>
      </c>
      <c r="D104" s="1322">
        <v>0</v>
      </c>
    </row>
    <row r="105" spans="1:14" x14ac:dyDescent="0.2">
      <c r="A105" s="154" t="s">
        <v>180</v>
      </c>
      <c r="B105" s="1249">
        <v>1</v>
      </c>
      <c r="C105" s="1324">
        <f>14/3*2</f>
        <v>9.3333333333333339</v>
      </c>
      <c r="D105" s="1249">
        <v>0</v>
      </c>
    </row>
    <row r="106" spans="1:14" x14ac:dyDescent="0.2">
      <c r="A106" s="373" t="s">
        <v>99</v>
      </c>
      <c r="B106" s="1322">
        <v>500</v>
      </c>
      <c r="C106" s="1321">
        <v>20000</v>
      </c>
      <c r="D106" s="1321">
        <v>25000</v>
      </c>
    </row>
    <row r="107" spans="1:14" x14ac:dyDescent="0.2">
      <c r="A107" s="154" t="s">
        <v>180</v>
      </c>
      <c r="B107" s="1249">
        <v>1</v>
      </c>
      <c r="C107" s="1323">
        <v>14</v>
      </c>
      <c r="D107" s="1324">
        <v>33</v>
      </c>
    </row>
    <row r="108" spans="1:14" x14ac:dyDescent="0.2">
      <c r="A108" s="97"/>
    </row>
    <row r="109" spans="1:14" s="1" customFormat="1" ht="31.7" customHeight="1" x14ac:dyDescent="0.4">
      <c r="A109" s="368" t="s">
        <v>470</v>
      </c>
      <c r="B109" s="365"/>
      <c r="C109" s="369"/>
      <c r="D109" s="371"/>
      <c r="E109" s="371"/>
      <c r="F109" s="371"/>
      <c r="G109" s="1389"/>
      <c r="H109" s="1399"/>
      <c r="J109"/>
      <c r="K109"/>
      <c r="L109"/>
      <c r="M109"/>
      <c r="N109"/>
    </row>
    <row r="110" spans="1:14" s="1" customFormat="1" ht="15.95" customHeight="1" x14ac:dyDescent="0.4">
      <c r="A110" s="1126"/>
      <c r="B110" s="97"/>
      <c r="C110" s="1127"/>
      <c r="D110" s="818"/>
      <c r="E110" s="818"/>
      <c r="F110" s="818"/>
      <c r="G110" s="1128"/>
      <c r="H110" s="352"/>
    </row>
    <row r="111" spans="1:14" s="1" customFormat="1" ht="15.95" customHeight="1" x14ac:dyDescent="0.2">
      <c r="A111" s="1133" t="s">
        <v>580</v>
      </c>
      <c r="B111" s="124"/>
      <c r="C111" s="124" t="s">
        <v>18</v>
      </c>
      <c r="D111" s="124" t="s">
        <v>537</v>
      </c>
      <c r="E111" s="123" t="s">
        <v>538</v>
      </c>
      <c r="F111" s="124" t="s">
        <v>26</v>
      </c>
      <c r="G111" s="1128"/>
      <c r="H111" s="352"/>
    </row>
    <row r="112" spans="1:14" s="1" customFormat="1" ht="15.95" customHeight="1" x14ac:dyDescent="0.2">
      <c r="A112" s="1390" t="s">
        <v>468</v>
      </c>
      <c r="B112" s="817" t="s">
        <v>539</v>
      </c>
      <c r="C112" s="817">
        <v>2</v>
      </c>
      <c r="D112" s="817">
        <f>D126/3</f>
        <v>2.3000000000000003</v>
      </c>
      <c r="E112" s="1233">
        <f>415/25</f>
        <v>16.600000000000001</v>
      </c>
      <c r="F112" s="603">
        <f>C112*D112*E112</f>
        <v>76.360000000000014</v>
      </c>
      <c r="G112" s="1128"/>
      <c r="H112" s="352"/>
    </row>
    <row r="113" spans="1:21" s="1" customFormat="1" ht="15.95" customHeight="1" x14ac:dyDescent="0.2">
      <c r="A113" s="1390"/>
      <c r="B113" s="817" t="s">
        <v>574</v>
      </c>
      <c r="C113" s="817">
        <v>2</v>
      </c>
      <c r="D113" s="817">
        <f t="shared" ref="D113:D118" si="6">D127/3</f>
        <v>1.5999999999999999</v>
      </c>
      <c r="E113" s="1233">
        <f>85.8/25</f>
        <v>3.4319999999999999</v>
      </c>
      <c r="F113" s="603">
        <f>C113*D113*E113</f>
        <v>10.982399999999998</v>
      </c>
      <c r="G113" s="1128"/>
      <c r="H113" s="352"/>
    </row>
    <row r="114" spans="1:21" s="1" customFormat="1" ht="15.95" customHeight="1" x14ac:dyDescent="0.2">
      <c r="A114" s="1390"/>
      <c r="B114" s="817" t="s">
        <v>540</v>
      </c>
      <c r="C114" s="817">
        <v>2</v>
      </c>
      <c r="D114" s="1343">
        <f t="shared" si="6"/>
        <v>2.6666666666666665</v>
      </c>
      <c r="E114" s="1233">
        <f>262.65/25</f>
        <v>10.505999999999998</v>
      </c>
      <c r="F114" s="1236">
        <f t="shared" ref="F114:F115" si="7">C114*D114*E114</f>
        <v>56.031999999999989</v>
      </c>
      <c r="G114" s="1238">
        <f>SUM(F112:F114)</f>
        <v>143.37440000000001</v>
      </c>
      <c r="H114" s="352"/>
    </row>
    <row r="115" spans="1:21" s="1" customFormat="1" ht="15.95" customHeight="1" x14ac:dyDescent="0.2">
      <c r="A115" s="1390" t="s">
        <v>292</v>
      </c>
      <c r="B115" s="817" t="s">
        <v>541</v>
      </c>
      <c r="C115" s="817">
        <v>2</v>
      </c>
      <c r="D115" s="1343">
        <f t="shared" si="6"/>
        <v>10.666666666666666</v>
      </c>
      <c r="E115" s="1233">
        <f>1125.45/205</f>
        <v>5.49</v>
      </c>
      <c r="F115" s="603">
        <f t="shared" si="7"/>
        <v>117.12</v>
      </c>
      <c r="G115" s="1128"/>
      <c r="H115" s="352"/>
    </row>
    <row r="116" spans="1:21" s="1" customFormat="1" ht="15.95" customHeight="1" x14ac:dyDescent="0.2">
      <c r="A116" s="1390"/>
      <c r="B116" s="817" t="s">
        <v>542</v>
      </c>
      <c r="C116" s="817">
        <v>2</v>
      </c>
      <c r="D116" s="1343">
        <f t="shared" si="6"/>
        <v>1.5999999999999999</v>
      </c>
      <c r="E116" s="1233">
        <f>726.25/5</f>
        <v>145.25</v>
      </c>
      <c r="F116" s="603">
        <f>C116*D116*E116</f>
        <v>464.79999999999995</v>
      </c>
      <c r="G116" s="1128"/>
      <c r="H116" s="352"/>
    </row>
    <row r="117" spans="1:21" s="1" customFormat="1" ht="15.95" customHeight="1" x14ac:dyDescent="0.2">
      <c r="A117" s="1390"/>
      <c r="B117" s="817" t="s">
        <v>544</v>
      </c>
      <c r="C117" s="817">
        <v>1</v>
      </c>
      <c r="D117" s="1343">
        <f t="shared" si="6"/>
        <v>0.26666666666666666</v>
      </c>
      <c r="E117" s="1233">
        <f>1412.9/5</f>
        <v>282.58000000000004</v>
      </c>
      <c r="F117" s="603">
        <f t="shared" ref="F117:F118" si="8">C117*D117*E117</f>
        <v>75.354666666666674</v>
      </c>
      <c r="G117" s="1128"/>
      <c r="H117" s="352"/>
    </row>
    <row r="118" spans="1:21" s="1" customFormat="1" ht="15.95" customHeight="1" x14ac:dyDescent="0.2">
      <c r="A118" s="1390"/>
      <c r="B118" s="817" t="s">
        <v>543</v>
      </c>
      <c r="C118" s="817">
        <v>1</v>
      </c>
      <c r="D118" s="1343">
        <f t="shared" si="6"/>
        <v>6.666666666666667</v>
      </c>
      <c r="E118" s="1233">
        <f>1981.1/200</f>
        <v>9.9055</v>
      </c>
      <c r="F118" s="1236">
        <f t="shared" si="8"/>
        <v>66.036666666666676</v>
      </c>
      <c r="G118" s="1238">
        <f>SUM(F115:F118)</f>
        <v>723.31133333333332</v>
      </c>
      <c r="H118" s="352"/>
    </row>
    <row r="119" spans="1:21" s="1135" customFormat="1" ht="15.95" customHeight="1" x14ac:dyDescent="0.2">
      <c r="A119" s="151" t="s">
        <v>439</v>
      </c>
      <c r="B119" s="817"/>
      <c r="C119" s="1232">
        <v>0</v>
      </c>
      <c r="D119" s="1343"/>
      <c r="E119" s="1234"/>
      <c r="F119" s="1237">
        <f>C119*D119*E119</f>
        <v>0</v>
      </c>
      <c r="G119" s="1238">
        <f>SUM(F119)</f>
        <v>0</v>
      </c>
      <c r="H119" s="1137"/>
    </row>
    <row r="120" spans="1:21" s="1135" customFormat="1" ht="15.95" customHeight="1" x14ac:dyDescent="0.2">
      <c r="A120" s="1134"/>
      <c r="B120" s="1144"/>
      <c r="C120" s="817">
        <f>SUM(C112:C119)</f>
        <v>12</v>
      </c>
      <c r="D120" s="1144"/>
      <c r="E120" s="1234"/>
      <c r="H120" s="1137"/>
    </row>
    <row r="121" spans="1:21" s="1135" customFormat="1" ht="17.649999999999999" customHeight="1" x14ac:dyDescent="0.2">
      <c r="A121" s="1134" t="s">
        <v>582</v>
      </c>
      <c r="B121" s="1249">
        <v>9</v>
      </c>
      <c r="C121" s="1144"/>
      <c r="D121" s="1150"/>
      <c r="E121" s="1234"/>
      <c r="H121" s="1145"/>
    </row>
    <row r="122" spans="1:21" s="1135" customFormat="1" ht="17.649999999999999" customHeight="1" x14ac:dyDescent="0.2">
      <c r="A122" s="1134" t="s">
        <v>545</v>
      </c>
      <c r="B122" s="1249">
        <v>3</v>
      </c>
      <c r="C122" s="1144"/>
      <c r="D122" s="1150"/>
      <c r="E122" s="1234"/>
      <c r="H122" s="1145"/>
    </row>
    <row r="123" spans="1:21" s="1135" customFormat="1" ht="20.25" x14ac:dyDescent="0.3">
      <c r="A123" s="1134" t="s">
        <v>546</v>
      </c>
      <c r="B123" s="1249">
        <v>6</v>
      </c>
      <c r="C123" s="1144"/>
      <c r="D123" s="1144"/>
      <c r="E123" s="1235"/>
      <c r="H123" s="1136"/>
      <c r="O123" s="1136"/>
      <c r="P123" s="1136"/>
      <c r="Q123" s="1136"/>
      <c r="R123" s="1136"/>
      <c r="S123" s="1136"/>
      <c r="T123" s="1136"/>
      <c r="U123" s="1136"/>
    </row>
    <row r="124" spans="1:21" s="1135" customFormat="1" ht="20.25" x14ac:dyDescent="0.3">
      <c r="A124" s="1154"/>
      <c r="B124" s="1144"/>
      <c r="C124" s="1144"/>
      <c r="D124" s="1144"/>
      <c r="E124" s="1235"/>
      <c r="H124" s="1136"/>
      <c r="O124" s="1136"/>
      <c r="P124" s="1136"/>
      <c r="Q124" s="1136"/>
      <c r="R124" s="1136"/>
      <c r="S124" s="1136"/>
      <c r="T124" s="1136"/>
      <c r="U124" s="1136"/>
    </row>
    <row r="125" spans="1:21" s="1" customFormat="1" ht="15.95" customHeight="1" x14ac:dyDescent="0.2">
      <c r="A125" s="1133" t="s">
        <v>579</v>
      </c>
      <c r="B125" s="124"/>
      <c r="C125" s="124" t="s">
        <v>18</v>
      </c>
      <c r="D125" s="124" t="s">
        <v>537</v>
      </c>
      <c r="E125" s="123" t="s">
        <v>538</v>
      </c>
      <c r="F125" s="124" t="s">
        <v>26</v>
      </c>
      <c r="G125" s="1128"/>
      <c r="H125" s="352"/>
    </row>
    <row r="126" spans="1:21" s="1" customFormat="1" ht="15.95" customHeight="1" x14ac:dyDescent="0.2">
      <c r="A126" s="1390" t="s">
        <v>468</v>
      </c>
      <c r="B126" s="817" t="s">
        <v>539</v>
      </c>
      <c r="C126" s="817">
        <v>2</v>
      </c>
      <c r="D126" s="817">
        <v>6.9</v>
      </c>
      <c r="E126" s="1233">
        <f>415/25</f>
        <v>16.600000000000001</v>
      </c>
      <c r="F126" s="603">
        <f>C126*D126*E126</f>
        <v>229.08000000000004</v>
      </c>
      <c r="G126" s="1128"/>
      <c r="H126" s="352"/>
    </row>
    <row r="127" spans="1:21" s="1" customFormat="1" ht="15.95" customHeight="1" x14ac:dyDescent="0.2">
      <c r="A127" s="1390"/>
      <c r="B127" s="817" t="s">
        <v>574</v>
      </c>
      <c r="C127" s="817">
        <v>2</v>
      </c>
      <c r="D127" s="817">
        <v>4.8</v>
      </c>
      <c r="E127" s="1233">
        <f>85.8/25</f>
        <v>3.4319999999999999</v>
      </c>
      <c r="F127" s="603">
        <f>C127*D127*E127</f>
        <v>32.947199999999995</v>
      </c>
      <c r="G127" s="1128"/>
      <c r="H127" s="352"/>
    </row>
    <row r="128" spans="1:21" s="1" customFormat="1" ht="15.95" customHeight="1" x14ac:dyDescent="0.2">
      <c r="A128" s="1390"/>
      <c r="B128" s="817" t="s">
        <v>540</v>
      </c>
      <c r="C128" s="817">
        <v>2</v>
      </c>
      <c r="D128" s="817">
        <v>8</v>
      </c>
      <c r="E128" s="1233">
        <f>262.65/25</f>
        <v>10.505999999999998</v>
      </c>
      <c r="F128" s="1236">
        <f t="shared" ref="F128:F132" si="9">C128*D128*E128</f>
        <v>168.09599999999998</v>
      </c>
      <c r="G128" s="1238">
        <f>SUM(F126:F128)</f>
        <v>430.1232</v>
      </c>
      <c r="H128" s="352"/>
    </row>
    <row r="129" spans="1:21" s="1" customFormat="1" ht="15.95" customHeight="1" x14ac:dyDescent="0.2">
      <c r="A129" s="1390" t="s">
        <v>292</v>
      </c>
      <c r="B129" s="817" t="s">
        <v>541</v>
      </c>
      <c r="C129" s="817">
        <v>2</v>
      </c>
      <c r="D129" s="817">
        <v>32</v>
      </c>
      <c r="E129" s="1233">
        <f>1125.45/205</f>
        <v>5.49</v>
      </c>
      <c r="F129" s="603">
        <f t="shared" si="9"/>
        <v>351.36</v>
      </c>
      <c r="G129" s="1128"/>
      <c r="H129" s="352"/>
    </row>
    <row r="130" spans="1:21" s="1" customFormat="1" ht="15.95" customHeight="1" x14ac:dyDescent="0.2">
      <c r="A130" s="1390"/>
      <c r="B130" s="817" t="s">
        <v>542</v>
      </c>
      <c r="C130" s="817">
        <v>2</v>
      </c>
      <c r="D130" s="817">
        <v>4.8</v>
      </c>
      <c r="E130" s="1233">
        <f>726.25/5</f>
        <v>145.25</v>
      </c>
      <c r="F130" s="603">
        <f>C130*D130*E130</f>
        <v>1394.3999999999999</v>
      </c>
      <c r="G130" s="1128"/>
      <c r="H130" s="352"/>
    </row>
    <row r="131" spans="1:21" s="1" customFormat="1" ht="15.95" customHeight="1" x14ac:dyDescent="0.2">
      <c r="A131" s="1390"/>
      <c r="B131" s="817" t="s">
        <v>544</v>
      </c>
      <c r="C131" s="817">
        <v>1</v>
      </c>
      <c r="D131" s="817">
        <v>0.8</v>
      </c>
      <c r="E131" s="1233">
        <f>1412.9/5</f>
        <v>282.58000000000004</v>
      </c>
      <c r="F131" s="603">
        <f t="shared" si="9"/>
        <v>226.06400000000005</v>
      </c>
      <c r="G131" s="1128"/>
      <c r="H131" s="352"/>
    </row>
    <row r="132" spans="1:21" s="1" customFormat="1" ht="15.95" customHeight="1" x14ac:dyDescent="0.2">
      <c r="A132" s="1390"/>
      <c r="B132" s="817" t="s">
        <v>543</v>
      </c>
      <c r="C132" s="817">
        <v>1</v>
      </c>
      <c r="D132" s="817">
        <v>20</v>
      </c>
      <c r="E132" s="1233">
        <f>1981.1/200</f>
        <v>9.9055</v>
      </c>
      <c r="F132" s="1236">
        <f t="shared" si="9"/>
        <v>198.11</v>
      </c>
      <c r="G132" s="1238">
        <f>SUM(F129:F132)</f>
        <v>2169.9339999999997</v>
      </c>
      <c r="H132" s="352"/>
    </row>
    <row r="133" spans="1:21" s="1135" customFormat="1" ht="15.95" customHeight="1" x14ac:dyDescent="0.2">
      <c r="A133" s="151" t="s">
        <v>439</v>
      </c>
      <c r="B133" s="817"/>
      <c r="C133" s="1232">
        <v>0</v>
      </c>
      <c r="D133" s="817"/>
      <c r="E133" s="1234"/>
      <c r="F133" s="1237">
        <f>C133*D133*E133</f>
        <v>0</v>
      </c>
      <c r="G133" s="1238">
        <f>SUM(F133)</f>
        <v>0</v>
      </c>
      <c r="H133" s="1137"/>
    </row>
    <row r="134" spans="1:21" s="1135" customFormat="1" ht="15.95" customHeight="1" x14ac:dyDescent="0.2">
      <c r="A134" s="1134"/>
      <c r="B134" s="1144"/>
      <c r="C134" s="817">
        <f>SUM(C126:C133)</f>
        <v>12</v>
      </c>
      <c r="D134" s="1144"/>
      <c r="E134" s="1234"/>
      <c r="H134" s="1137"/>
    </row>
    <row r="135" spans="1:21" s="1135" customFormat="1" ht="17.649999999999999" customHeight="1" x14ac:dyDescent="0.2">
      <c r="A135" s="1134" t="s">
        <v>469</v>
      </c>
      <c r="B135" s="1249">
        <v>9</v>
      </c>
      <c r="C135" s="1144"/>
      <c r="D135" s="1150"/>
      <c r="E135" s="1234"/>
      <c r="H135" s="1145"/>
    </row>
    <row r="136" spans="1:21" s="1135" customFormat="1" ht="17.649999999999999" customHeight="1" x14ac:dyDescent="0.2">
      <c r="A136" s="1134" t="s">
        <v>545</v>
      </c>
      <c r="B136" s="1249">
        <v>3</v>
      </c>
      <c r="C136" s="1144"/>
      <c r="D136" s="1150"/>
      <c r="E136" s="1234"/>
      <c r="H136" s="1145"/>
    </row>
    <row r="137" spans="1:21" s="1135" customFormat="1" ht="20.25" x14ac:dyDescent="0.3">
      <c r="A137" s="1134" t="s">
        <v>546</v>
      </c>
      <c r="B137" s="1249">
        <v>6</v>
      </c>
      <c r="C137" s="1144"/>
      <c r="D137" s="1144"/>
      <c r="E137" s="1235"/>
      <c r="H137" s="1136"/>
      <c r="O137" s="1136"/>
      <c r="P137" s="1136"/>
      <c r="Q137" s="1136"/>
      <c r="R137" s="1136"/>
      <c r="S137" s="1136"/>
      <c r="T137" s="1136"/>
      <c r="U137" s="1136"/>
    </row>
    <row r="138" spans="1:21" s="1135" customFormat="1" ht="20.25" x14ac:dyDescent="0.3">
      <c r="A138" s="1154"/>
      <c r="B138" s="1144"/>
      <c r="C138" s="1144"/>
      <c r="D138" s="1144"/>
      <c r="E138" s="1235"/>
      <c r="H138" s="1136"/>
      <c r="O138" s="1136"/>
      <c r="P138" s="1136"/>
      <c r="Q138" s="1136"/>
      <c r="R138" s="1136"/>
      <c r="S138" s="1136"/>
      <c r="T138" s="1136"/>
      <c r="U138" s="1136"/>
    </row>
    <row r="139" spans="1:21" s="1" customFormat="1" ht="15.95" customHeight="1" x14ac:dyDescent="0.2">
      <c r="A139" s="1133" t="s">
        <v>547</v>
      </c>
      <c r="B139" s="124"/>
      <c r="C139" s="124" t="s">
        <v>18</v>
      </c>
      <c r="D139" s="124" t="s">
        <v>537</v>
      </c>
      <c r="E139" s="124" t="s">
        <v>538</v>
      </c>
      <c r="F139" s="124" t="s">
        <v>26</v>
      </c>
      <c r="H139" s="818"/>
    </row>
    <row r="140" spans="1:21" s="1" customFormat="1" ht="15.95" customHeight="1" x14ac:dyDescent="0.2">
      <c r="A140" s="1239" t="s">
        <v>468</v>
      </c>
      <c r="B140" s="817" t="s">
        <v>539</v>
      </c>
      <c r="C140" s="817">
        <v>1</v>
      </c>
      <c r="D140" s="817">
        <v>6.9</v>
      </c>
      <c r="E140" s="1233">
        <f>415/25</f>
        <v>16.600000000000001</v>
      </c>
      <c r="F140" s="1236">
        <f>C140*D140*E140</f>
        <v>114.54000000000002</v>
      </c>
      <c r="G140" s="1238">
        <f>SUM(F140)</f>
        <v>114.54000000000002</v>
      </c>
      <c r="H140" s="352"/>
    </row>
    <row r="141" spans="1:21" s="1" customFormat="1" ht="15.95" customHeight="1" x14ac:dyDescent="0.2">
      <c r="A141" s="1390" t="s">
        <v>292</v>
      </c>
      <c r="B141" s="817" t="s">
        <v>541</v>
      </c>
      <c r="C141" s="817">
        <v>2</v>
      </c>
      <c r="D141" s="817">
        <v>32</v>
      </c>
      <c r="E141" s="1233">
        <f>1125.45/205</f>
        <v>5.49</v>
      </c>
      <c r="F141" s="603">
        <f t="shared" ref="F141:F142" si="10">C141*D141*E141</f>
        <v>351.36</v>
      </c>
      <c r="G141" s="1128"/>
      <c r="H141" s="352"/>
    </row>
    <row r="142" spans="1:21" s="1" customFormat="1" ht="15.95" customHeight="1" x14ac:dyDescent="0.2">
      <c r="A142" s="1390"/>
      <c r="B142" s="817" t="s">
        <v>542</v>
      </c>
      <c r="C142" s="817">
        <v>2</v>
      </c>
      <c r="D142" s="817">
        <v>4.8</v>
      </c>
      <c r="E142" s="1233">
        <f>726.25/5</f>
        <v>145.25</v>
      </c>
      <c r="F142" s="1236">
        <f t="shared" si="10"/>
        <v>1394.3999999999999</v>
      </c>
      <c r="G142" s="1238">
        <f>SUM(F141:F142)</f>
        <v>1745.7599999999998</v>
      </c>
      <c r="H142" s="352"/>
    </row>
    <row r="143" spans="1:21" s="1135" customFormat="1" ht="15.95" customHeight="1" x14ac:dyDescent="0.2">
      <c r="A143" s="1134" t="s">
        <v>439</v>
      </c>
      <c r="B143" s="817"/>
      <c r="C143" s="1232">
        <v>0</v>
      </c>
      <c r="D143" s="817"/>
      <c r="E143" s="1234"/>
      <c r="F143" s="1237">
        <f>C143*D143*E143</f>
        <v>0</v>
      </c>
      <c r="G143" s="1238">
        <f>SUM(F143)</f>
        <v>0</v>
      </c>
      <c r="H143" s="1137"/>
    </row>
    <row r="144" spans="1:21" s="1135" customFormat="1" ht="15.95" customHeight="1" x14ac:dyDescent="0.2">
      <c r="A144" s="1134"/>
      <c r="B144" s="1144"/>
      <c r="C144" s="817">
        <f>SUM(C140:C143)</f>
        <v>5</v>
      </c>
      <c r="D144" s="1144"/>
      <c r="E144" s="1234"/>
      <c r="H144" s="1137"/>
    </row>
    <row r="145" spans="1:25" s="1135" customFormat="1" ht="17.649999999999999" customHeight="1" x14ac:dyDescent="0.2">
      <c r="A145" s="1134" t="s">
        <v>469</v>
      </c>
      <c r="B145" s="1249">
        <v>5</v>
      </c>
      <c r="C145" s="1144"/>
      <c r="D145" s="1150"/>
      <c r="E145" s="1234"/>
      <c r="H145" s="1145"/>
    </row>
    <row r="146" spans="1:25" s="1135" customFormat="1" ht="17.649999999999999" customHeight="1" x14ac:dyDescent="0.2">
      <c r="A146" s="1134" t="s">
        <v>545</v>
      </c>
      <c r="B146" s="1249">
        <v>3</v>
      </c>
      <c r="C146" s="1144"/>
      <c r="D146" s="1150"/>
      <c r="E146" s="1234"/>
      <c r="H146" s="1145"/>
    </row>
    <row r="147" spans="1:25" s="1135" customFormat="1" ht="20.25" x14ac:dyDescent="0.3">
      <c r="A147" s="1134" t="s">
        <v>546</v>
      </c>
      <c r="B147" s="1249">
        <v>4</v>
      </c>
      <c r="C147" s="1144"/>
      <c r="D147" s="1144"/>
      <c r="E147" s="1235"/>
      <c r="H147" s="1136"/>
      <c r="O147" s="1136"/>
      <c r="P147" s="1136"/>
      <c r="Q147" s="1136"/>
      <c r="R147" s="1136"/>
      <c r="S147" s="1136"/>
      <c r="T147" s="1136"/>
      <c r="U147" s="1136"/>
    </row>
    <row r="148" spans="1:25" s="1" customFormat="1" ht="20.25" x14ac:dyDescent="0.3">
      <c r="B148" s="152"/>
      <c r="C148" s="136"/>
      <c r="D148" s="45"/>
      <c r="E148" s="45"/>
      <c r="F148" s="45"/>
      <c r="J148"/>
      <c r="K148"/>
      <c r="L148"/>
      <c r="M148"/>
      <c r="N148" s="24"/>
      <c r="O148" s="24"/>
      <c r="P148" s="24"/>
      <c r="Q148" s="24"/>
      <c r="R148" s="24"/>
      <c r="S148" s="24"/>
    </row>
    <row r="149" spans="1:25" ht="26.25" x14ac:dyDescent="0.4">
      <c r="A149" s="365"/>
      <c r="B149" s="368" t="s">
        <v>27</v>
      </c>
      <c r="C149" s="369" t="s">
        <v>165</v>
      </c>
      <c r="D149" s="371"/>
      <c r="E149" s="371"/>
      <c r="F149" s="1374"/>
      <c r="G149" s="1384"/>
      <c r="H149" s="1384"/>
      <c r="N149" s="24"/>
      <c r="O149" s="24"/>
      <c r="P149" s="24"/>
      <c r="Q149" s="24"/>
      <c r="R149" s="24"/>
      <c r="S149" s="24"/>
    </row>
    <row r="150" spans="1:25" x14ac:dyDescent="0.2">
      <c r="A150" s="97"/>
      <c r="B150" s="218"/>
      <c r="D150" s="13"/>
      <c r="E150" s="13"/>
      <c r="F150" s="13"/>
      <c r="G150" s="18"/>
      <c r="N150" s="24"/>
      <c r="O150" s="24"/>
      <c r="P150" s="24"/>
      <c r="Q150" s="24"/>
      <c r="R150" s="24"/>
      <c r="S150" s="24"/>
    </row>
    <row r="151" spans="1:25" x14ac:dyDescent="0.2">
      <c r="A151" s="97"/>
      <c r="B151" s="486" t="s">
        <v>222</v>
      </c>
      <c r="C151" s="487"/>
      <c r="D151" s="488"/>
      <c r="E151" s="488"/>
      <c r="F151" s="488"/>
      <c r="G151" s="18"/>
      <c r="N151" s="24"/>
      <c r="O151" s="24"/>
      <c r="P151" s="24"/>
      <c r="Q151" s="24"/>
      <c r="R151" s="24"/>
      <c r="S151" s="24"/>
    </row>
    <row r="152" spans="1:25" x14ac:dyDescent="0.2">
      <c r="A152" s="97"/>
      <c r="B152" s="486" t="s">
        <v>422</v>
      </c>
      <c r="C152" s="487"/>
      <c r="D152" s="149"/>
      <c r="E152" s="149"/>
      <c r="F152" s="149"/>
      <c r="N152" s="24"/>
      <c r="O152" s="24"/>
      <c r="P152" s="24"/>
      <c r="Q152" s="24"/>
      <c r="R152" s="24"/>
      <c r="S152" s="24"/>
    </row>
    <row r="153" spans="1:25" x14ac:dyDescent="0.2">
      <c r="A153" s="97"/>
      <c r="B153" s="18"/>
      <c r="C153" s="131"/>
      <c r="D153" s="13"/>
      <c r="E153" s="13"/>
      <c r="F153" s="13"/>
      <c r="N153" s="24"/>
      <c r="O153" s="24"/>
      <c r="P153" s="24"/>
      <c r="Q153" s="24"/>
      <c r="R153" s="24"/>
      <c r="S153" s="24"/>
    </row>
    <row r="154" spans="1:25" ht="15.75" x14ac:dyDescent="0.25">
      <c r="A154" s="97"/>
      <c r="B154" s="431" t="s">
        <v>111</v>
      </c>
      <c r="C154" s="138"/>
      <c r="D154" s="13"/>
      <c r="E154" s="13"/>
      <c r="F154" s="13"/>
      <c r="N154" s="24"/>
      <c r="O154" s="24"/>
      <c r="P154" s="24"/>
      <c r="Q154" s="24"/>
      <c r="R154" s="24"/>
      <c r="S154" s="24"/>
      <c r="T154" s="24"/>
      <c r="U154" s="24"/>
      <c r="V154" s="24"/>
      <c r="W154" s="24"/>
      <c r="X154" s="24"/>
      <c r="Y154" s="24"/>
    </row>
    <row r="155" spans="1:25" ht="18" customHeight="1" x14ac:dyDescent="0.2">
      <c r="A155" s="154" t="s">
        <v>28</v>
      </c>
      <c r="B155" s="104" t="s">
        <v>399</v>
      </c>
      <c r="D155" s="138">
        <f>I173</f>
        <v>41</v>
      </c>
      <c r="E155" s="151"/>
      <c r="G155" s="167"/>
      <c r="O155" s="671"/>
      <c r="P155" s="1115"/>
      <c r="Q155" s="57"/>
      <c r="R155" s="57"/>
      <c r="S155" s="57"/>
      <c r="T155" s="1111"/>
      <c r="U155" s="262"/>
      <c r="V155" s="1112"/>
      <c r="W155" s="1113"/>
      <c r="X155" s="24"/>
      <c r="Y155" s="24"/>
    </row>
    <row r="156" spans="1:25" ht="18" customHeight="1" x14ac:dyDescent="0.2">
      <c r="A156" s="154"/>
      <c r="B156" s="104"/>
      <c r="D156" s="131"/>
      <c r="E156" s="151"/>
      <c r="G156" s="167"/>
      <c r="O156" s="671"/>
      <c r="P156" s="1115"/>
      <c r="Q156" s="57"/>
      <c r="R156" s="57"/>
      <c r="S156" s="57"/>
      <c r="T156" s="1111"/>
      <c r="U156" s="262"/>
      <c r="V156" s="1112"/>
      <c r="W156" s="1113"/>
      <c r="X156" s="24"/>
      <c r="Y156" s="24"/>
    </row>
    <row r="157" spans="1:25" x14ac:dyDescent="0.2">
      <c r="A157" s="154"/>
      <c r="B157" s="1"/>
      <c r="D157" s="131"/>
      <c r="G157" s="173" t="s">
        <v>138</v>
      </c>
      <c r="H157" s="481" t="s">
        <v>139</v>
      </c>
      <c r="I157" s="48" t="s">
        <v>105</v>
      </c>
      <c r="O157" s="671"/>
      <c r="P157" s="1115"/>
      <c r="Q157" s="57"/>
      <c r="R157" s="57"/>
      <c r="S157" s="57"/>
      <c r="T157" s="1111"/>
      <c r="U157" s="262"/>
      <c r="V157" s="1112"/>
      <c r="W157" s="1113"/>
      <c r="X157" s="24"/>
      <c r="Y157" s="24"/>
    </row>
    <row r="158" spans="1:25" x14ac:dyDescent="0.2">
      <c r="A158" s="4"/>
      <c r="C158" s="119" t="s">
        <v>127</v>
      </c>
      <c r="D158" s="122" t="s">
        <v>130</v>
      </c>
      <c r="E158" s="48" t="s">
        <v>18</v>
      </c>
      <c r="G158" s="174" t="s">
        <v>140</v>
      </c>
      <c r="H158" s="174" t="s">
        <v>140</v>
      </c>
      <c r="I158" s="174" t="s">
        <v>140</v>
      </c>
      <c r="O158" s="671"/>
      <c r="P158" s="1115"/>
      <c r="Q158" s="57"/>
      <c r="R158" s="57"/>
      <c r="S158" s="57"/>
      <c r="T158" s="1111"/>
      <c r="U158" s="262"/>
      <c r="V158" s="1112"/>
      <c r="W158" s="1113"/>
      <c r="X158" s="24"/>
      <c r="Y158" s="24"/>
    </row>
    <row r="159" spans="1:25" x14ac:dyDescent="0.2">
      <c r="A159" s="154" t="s">
        <v>125</v>
      </c>
      <c r="B159" s="20" t="s">
        <v>549</v>
      </c>
      <c r="C159" s="135">
        <v>1</v>
      </c>
      <c r="D159" s="679">
        <f>I159</f>
        <v>37</v>
      </c>
      <c r="E159" s="146" t="s">
        <v>128</v>
      </c>
      <c r="G159" s="1092"/>
      <c r="H159" s="1092">
        <v>11.67</v>
      </c>
      <c r="I159" s="1091">
        <v>37</v>
      </c>
      <c r="J159" s="482"/>
      <c r="L159" s="1092"/>
      <c r="O159" s="671"/>
      <c r="P159" s="1115"/>
      <c r="Q159" s="57"/>
      <c r="R159" s="57"/>
      <c r="S159" s="57"/>
      <c r="T159" s="1111"/>
      <c r="U159" s="262"/>
      <c r="V159" s="1112"/>
      <c r="W159" s="1113"/>
      <c r="X159" s="24"/>
      <c r="Y159" s="24"/>
    </row>
    <row r="160" spans="1:25" x14ac:dyDescent="0.2">
      <c r="A160" s="154"/>
      <c r="B160" s="20" t="s">
        <v>581</v>
      </c>
      <c r="C160" s="1348">
        <v>1.5</v>
      </c>
      <c r="D160" s="679">
        <v>16</v>
      </c>
      <c r="E160" s="146" t="s">
        <v>128</v>
      </c>
      <c r="G160" s="1092"/>
      <c r="H160" s="1092">
        <v>11.49</v>
      </c>
      <c r="I160" s="1091">
        <v>16</v>
      </c>
      <c r="J160" s="482"/>
      <c r="L160" s="1092"/>
      <c r="O160" s="671"/>
      <c r="P160" s="1115"/>
      <c r="Q160" s="57"/>
      <c r="R160" s="57"/>
      <c r="S160" s="57"/>
      <c r="T160" s="1111"/>
      <c r="U160" s="262"/>
      <c r="V160" s="1112"/>
      <c r="W160" s="1113"/>
      <c r="X160" s="24"/>
      <c r="Y160" s="24"/>
    </row>
    <row r="161" spans="1:25" x14ac:dyDescent="0.2">
      <c r="B161" s="4" t="s">
        <v>109</v>
      </c>
      <c r="C161" s="135">
        <v>1</v>
      </c>
      <c r="D161" s="679">
        <f>I161</f>
        <v>18</v>
      </c>
      <c r="E161" s="146" t="s">
        <v>129</v>
      </c>
      <c r="G161" s="1092"/>
      <c r="H161" s="324">
        <v>7.03</v>
      </c>
      <c r="I161" s="1091">
        <v>18</v>
      </c>
      <c r="J161" s="482"/>
      <c r="L161" s="1092"/>
      <c r="O161" s="671"/>
      <c r="P161" s="1115"/>
      <c r="Q161" s="57"/>
      <c r="R161" s="57"/>
      <c r="S161" s="57"/>
      <c r="T161" s="1111"/>
      <c r="U161" s="262"/>
      <c r="V161" s="1112"/>
      <c r="W161" s="1113"/>
      <c r="X161" s="24"/>
      <c r="Y161" s="24"/>
    </row>
    <row r="162" spans="1:25" x14ac:dyDescent="0.2">
      <c r="B162" s="20" t="s">
        <v>550</v>
      </c>
      <c r="C162" s="1251">
        <f>1/2.6</f>
        <v>0.38461538461538458</v>
      </c>
      <c r="D162" s="1247">
        <f>I162</f>
        <v>44</v>
      </c>
      <c r="E162" s="1248" t="s">
        <v>573</v>
      </c>
      <c r="G162" s="324"/>
      <c r="H162" s="324">
        <v>11.37</v>
      </c>
      <c r="I162" s="1091">
        <v>44</v>
      </c>
      <c r="J162" s="482"/>
      <c r="L162" s="324"/>
      <c r="O162" s="24"/>
      <c r="P162" s="1115"/>
      <c r="Q162" s="57"/>
      <c r="R162" s="57"/>
      <c r="S162" s="57"/>
      <c r="T162" s="1111"/>
      <c r="U162" s="262"/>
      <c r="V162" s="1112"/>
      <c r="W162" s="1113"/>
      <c r="X162" s="24"/>
      <c r="Y162" s="24"/>
    </row>
    <row r="163" spans="1:25" x14ac:dyDescent="0.2">
      <c r="B163" s="4" t="s">
        <v>551</v>
      </c>
      <c r="C163" s="1251">
        <v>2</v>
      </c>
      <c r="D163" s="1247">
        <f>I163</f>
        <v>130</v>
      </c>
      <c r="E163" s="1248" t="s">
        <v>552</v>
      </c>
      <c r="G163" s="324"/>
      <c r="H163" s="324">
        <v>21.94</v>
      </c>
      <c r="I163" s="1091">
        <v>130</v>
      </c>
      <c r="J163" s="482"/>
      <c r="L163" s="324"/>
      <c r="O163" s="24"/>
      <c r="P163" s="1115"/>
      <c r="Q163" s="57"/>
      <c r="R163" s="57"/>
      <c r="S163" s="57"/>
      <c r="T163" s="1111"/>
      <c r="U163" s="262"/>
      <c r="V163" s="1112"/>
      <c r="W163" s="1113"/>
      <c r="X163" s="24"/>
      <c r="Y163" s="24"/>
    </row>
    <row r="164" spans="1:25" x14ac:dyDescent="0.2">
      <c r="B164" s="20" t="s">
        <v>575</v>
      </c>
      <c r="C164" s="1251">
        <v>1</v>
      </c>
      <c r="D164" s="1247">
        <f>I164</f>
        <v>38</v>
      </c>
      <c r="E164" s="1248" t="s">
        <v>552</v>
      </c>
      <c r="G164" s="324"/>
      <c r="H164" s="324">
        <v>8.75</v>
      </c>
      <c r="I164" s="1091">
        <v>38</v>
      </c>
      <c r="J164" s="482"/>
      <c r="L164" s="324"/>
      <c r="O164" s="24"/>
      <c r="P164" s="1115"/>
      <c r="Q164" s="57"/>
      <c r="R164" s="57"/>
      <c r="S164" s="57"/>
      <c r="T164" s="1111"/>
      <c r="U164" s="262"/>
      <c r="V164" s="1112"/>
      <c r="W164" s="1113"/>
      <c r="X164" s="24"/>
      <c r="Y164" s="24"/>
    </row>
    <row r="165" spans="1:25" x14ac:dyDescent="0.2">
      <c r="B165" s="4" t="s">
        <v>355</v>
      </c>
      <c r="C165" s="508">
        <v>0.1</v>
      </c>
      <c r="D165" s="679">
        <f t="shared" ref="D165:D168" si="11">I165</f>
        <v>25</v>
      </c>
      <c r="E165" s="12" t="s">
        <v>188</v>
      </c>
      <c r="G165" s="1092"/>
      <c r="H165" s="1092">
        <v>1.53</v>
      </c>
      <c r="I165" s="1091">
        <v>25</v>
      </c>
      <c r="J165" s="482"/>
      <c r="L165" s="1092"/>
      <c r="O165" s="806"/>
      <c r="P165" s="1115"/>
      <c r="Q165" s="57"/>
      <c r="R165" s="57"/>
      <c r="S165" s="57"/>
      <c r="T165" s="1111"/>
      <c r="U165" s="262"/>
      <c r="V165" s="1112"/>
      <c r="W165" s="1113"/>
      <c r="X165" s="24"/>
      <c r="Y165" s="24"/>
    </row>
    <row r="166" spans="1:25" x14ac:dyDescent="0.2">
      <c r="B166" s="20" t="s">
        <v>554</v>
      </c>
      <c r="C166" s="135">
        <v>0.5</v>
      </c>
      <c r="D166" s="679">
        <f t="shared" si="11"/>
        <v>42</v>
      </c>
      <c r="E166" s="509">
        <v>6</v>
      </c>
      <c r="G166" s="324"/>
      <c r="H166" s="324">
        <v>14.5</v>
      </c>
      <c r="I166" s="1091">
        <v>42</v>
      </c>
      <c r="J166" s="482"/>
      <c r="L166" s="324"/>
      <c r="O166" s="24"/>
      <c r="P166" s="24"/>
      <c r="Q166" s="24"/>
      <c r="R166" s="24"/>
      <c r="S166" s="24"/>
      <c r="T166" s="24"/>
      <c r="U166" s="24"/>
      <c r="V166" s="24"/>
      <c r="W166" s="24"/>
      <c r="X166" s="24"/>
      <c r="Y166" s="24"/>
    </row>
    <row r="167" spans="1:25" x14ac:dyDescent="0.2">
      <c r="A167" s="97"/>
      <c r="B167" s="20" t="s">
        <v>68</v>
      </c>
      <c r="C167" s="135">
        <v>3</v>
      </c>
      <c r="D167" s="679">
        <f t="shared" si="11"/>
        <v>68.3</v>
      </c>
      <c r="E167" s="509">
        <v>1</v>
      </c>
      <c r="G167" s="324"/>
      <c r="H167" s="324">
        <v>29.05</v>
      </c>
      <c r="I167" s="1091">
        <v>68.3</v>
      </c>
      <c r="J167" s="482"/>
      <c r="L167" s="324"/>
      <c r="O167" s="1114"/>
      <c r="P167" s="1115"/>
      <c r="Q167" s="57"/>
      <c r="R167" s="57"/>
      <c r="S167" s="57"/>
      <c r="T167" s="1111"/>
      <c r="U167" s="262"/>
      <c r="V167" s="1112"/>
      <c r="W167" s="1113"/>
      <c r="X167" s="24"/>
      <c r="Y167" s="24"/>
    </row>
    <row r="168" spans="1:25" x14ac:dyDescent="0.2">
      <c r="A168" s="218"/>
      <c r="B168" s="52" t="s">
        <v>512</v>
      </c>
      <c r="C168" s="1348">
        <v>100</v>
      </c>
      <c r="D168" s="679">
        <f t="shared" si="11"/>
        <v>17.5</v>
      </c>
      <c r="E168" s="12" t="s">
        <v>421</v>
      </c>
      <c r="F168" s="69"/>
      <c r="G168" s="324"/>
      <c r="H168" s="324">
        <v>3.98</v>
      </c>
      <c r="I168" s="1091">
        <v>17.5</v>
      </c>
      <c r="J168" s="482"/>
      <c r="L168" s="324"/>
      <c r="O168" s="24"/>
      <c r="P168" s="24"/>
      <c r="Q168" s="24"/>
      <c r="R168" s="24"/>
      <c r="S168" s="24"/>
      <c r="T168" s="24"/>
      <c r="U168" s="24"/>
      <c r="V168" s="24"/>
      <c r="W168" s="24"/>
      <c r="X168" s="24"/>
      <c r="Y168" s="24"/>
    </row>
    <row r="169" spans="1:25" x14ac:dyDescent="0.2">
      <c r="A169" s="97"/>
      <c r="B169" s="20" t="s">
        <v>181</v>
      </c>
      <c r="C169" s="32"/>
      <c r="D169" s="233">
        <v>500</v>
      </c>
      <c r="G169" s="324"/>
      <c r="H169" s="324"/>
      <c r="I169" s="175"/>
      <c r="O169" s="24"/>
      <c r="P169" s="24"/>
      <c r="Q169" s="24"/>
      <c r="R169" s="24"/>
      <c r="S169" s="24"/>
      <c r="T169" s="24"/>
      <c r="U169" s="24"/>
      <c r="V169" s="24"/>
      <c r="W169" s="24"/>
      <c r="X169" s="24"/>
      <c r="Y169" s="24"/>
    </row>
    <row r="170" spans="1:25" x14ac:dyDescent="0.2">
      <c r="A170" s="97"/>
      <c r="C170" s="32"/>
      <c r="D170" s="132"/>
      <c r="G170" s="175"/>
      <c r="H170" s="175"/>
      <c r="I170" s="175"/>
      <c r="O170" s="24"/>
      <c r="P170" s="24"/>
      <c r="Q170" s="24"/>
      <c r="R170" s="24"/>
      <c r="S170" s="24"/>
      <c r="T170" s="24"/>
      <c r="U170" s="24"/>
      <c r="V170" s="24"/>
      <c r="W170" s="24"/>
      <c r="X170" s="24"/>
      <c r="Y170" s="24"/>
    </row>
    <row r="171" spans="1:25" ht="17.45" customHeight="1" x14ac:dyDescent="0.25">
      <c r="A171" s="97"/>
      <c r="B171" s="431" t="s">
        <v>118</v>
      </c>
      <c r="E171" s="13"/>
      <c r="F171" s="13"/>
      <c r="G171" s="173" t="s">
        <v>138</v>
      </c>
      <c r="H171" s="173" t="s">
        <v>139</v>
      </c>
      <c r="I171" s="48" t="s">
        <v>105</v>
      </c>
    </row>
    <row r="172" spans="1:25" ht="17.45" customHeight="1" x14ac:dyDescent="0.2">
      <c r="A172" s="97"/>
      <c r="B172" s="100"/>
      <c r="C172" s="176" t="s">
        <v>92</v>
      </c>
      <c r="D172" s="134" t="s">
        <v>25</v>
      </c>
      <c r="E172" s="13"/>
      <c r="F172" s="13"/>
      <c r="G172" s="174" t="s">
        <v>25</v>
      </c>
      <c r="H172" s="174" t="s">
        <v>25</v>
      </c>
      <c r="I172" s="174" t="s">
        <v>25</v>
      </c>
    </row>
    <row r="173" spans="1:25" x14ac:dyDescent="0.2">
      <c r="A173" s="154" t="s">
        <v>28</v>
      </c>
      <c r="B173" s="84" t="s">
        <v>446</v>
      </c>
      <c r="C173" s="32" t="s">
        <v>5</v>
      </c>
      <c r="D173" s="138">
        <f>I173</f>
        <v>41</v>
      </c>
      <c r="E173" s="13"/>
      <c r="F173" s="13"/>
      <c r="G173" s="1090"/>
      <c r="H173" s="1158">
        <v>20</v>
      </c>
      <c r="I173" s="1091">
        <v>41</v>
      </c>
      <c r="J173" s="482"/>
    </row>
    <row r="174" spans="1:25" x14ac:dyDescent="0.2">
      <c r="A174" s="154" t="s">
        <v>125</v>
      </c>
      <c r="B174" s="97" t="s">
        <v>189</v>
      </c>
      <c r="C174" s="135">
        <v>1.5</v>
      </c>
      <c r="D174" s="138">
        <f>I174</f>
        <v>52</v>
      </c>
      <c r="E174" s="13"/>
      <c r="F174" s="13"/>
      <c r="G174" s="1090"/>
      <c r="H174" s="1090"/>
      <c r="I174" s="1091">
        <v>52</v>
      </c>
      <c r="J174" s="482"/>
      <c r="L174" t="s">
        <v>177</v>
      </c>
    </row>
    <row r="175" spans="1:25" x14ac:dyDescent="0.2">
      <c r="A175" s="97"/>
      <c r="B175" s="4" t="s">
        <v>447</v>
      </c>
      <c r="C175" s="135">
        <v>2</v>
      </c>
      <c r="D175" s="138">
        <f>I175</f>
        <v>62</v>
      </c>
      <c r="E175" s="13"/>
      <c r="F175" s="13"/>
      <c r="G175" s="1090"/>
      <c r="H175" s="1090"/>
      <c r="I175" s="1091">
        <v>62</v>
      </c>
      <c r="J175" s="482"/>
      <c r="L175" t="s">
        <v>177</v>
      </c>
    </row>
    <row r="176" spans="1:25" x14ac:dyDescent="0.2">
      <c r="A176" s="97"/>
      <c r="B176" s="97" t="s">
        <v>108</v>
      </c>
      <c r="C176" s="135">
        <v>1</v>
      </c>
      <c r="D176" s="138">
        <f>I176</f>
        <v>90</v>
      </c>
      <c r="E176" s="13"/>
      <c r="F176" s="13"/>
      <c r="I176" s="1091">
        <v>90</v>
      </c>
      <c r="J176" s="482"/>
      <c r="L176" t="s">
        <v>177</v>
      </c>
    </row>
    <row r="177" spans="1:11" x14ac:dyDescent="0.2">
      <c r="A177" s="97"/>
      <c r="B177" s="97" t="s">
        <v>110</v>
      </c>
      <c r="C177" s="510">
        <v>0.1</v>
      </c>
      <c r="D177" s="680">
        <f>I177</f>
        <v>25</v>
      </c>
      <c r="F177" s="146"/>
      <c r="I177" s="1091">
        <v>25</v>
      </c>
      <c r="J177" s="482"/>
    </row>
    <row r="178" spans="1:11" x14ac:dyDescent="0.2">
      <c r="A178" s="97"/>
      <c r="B178" s="84" t="s">
        <v>29</v>
      </c>
      <c r="D178" s="234">
        <v>220</v>
      </c>
      <c r="G178" s="1090"/>
      <c r="H178" s="1090"/>
      <c r="I178" s="175"/>
    </row>
    <row r="179" spans="1:11" x14ac:dyDescent="0.2">
      <c r="H179" s="175"/>
      <c r="I179" s="175"/>
    </row>
    <row r="180" spans="1:11" ht="26.25" x14ac:dyDescent="0.4">
      <c r="A180" s="346" t="s">
        <v>21</v>
      </c>
      <c r="B180" s="367"/>
      <c r="C180" s="354"/>
      <c r="D180" s="355"/>
      <c r="E180" s="355"/>
      <c r="F180" s="355"/>
      <c r="G180" s="1374"/>
      <c r="H180" s="1375"/>
    </row>
    <row r="181" spans="1:11" x14ac:dyDescent="0.2">
      <c r="C181" s="251" t="s">
        <v>211</v>
      </c>
      <c r="D181" s="48" t="s">
        <v>212</v>
      </c>
      <c r="E181" s="48" t="s">
        <v>214</v>
      </c>
      <c r="F181" s="48" t="s">
        <v>235</v>
      </c>
      <c r="G181" s="48" t="s">
        <v>236</v>
      </c>
      <c r="H181" s="48" t="s">
        <v>397</v>
      </c>
    </row>
    <row r="182" spans="1:11" ht="18" x14ac:dyDescent="0.25">
      <c r="A182" s="71" t="s">
        <v>164</v>
      </c>
      <c r="B182" t="s">
        <v>578</v>
      </c>
      <c r="C182" s="182">
        <f>(F182*H182)/1000</f>
        <v>405</v>
      </c>
      <c r="D182" s="177">
        <v>1.5</v>
      </c>
      <c r="E182" s="45"/>
      <c r="F182" s="1216">
        <v>30</v>
      </c>
      <c r="G182" s="64">
        <v>15</v>
      </c>
      <c r="H182" s="45">
        <f>B11*G182</f>
        <v>13500</v>
      </c>
    </row>
    <row r="183" spans="1:11" x14ac:dyDescent="0.2">
      <c r="B183" t="s">
        <v>577</v>
      </c>
      <c r="C183" s="182">
        <f>(F183*H183)/1000</f>
        <v>1701</v>
      </c>
      <c r="D183" s="177">
        <v>1.5</v>
      </c>
      <c r="E183" s="45"/>
      <c r="F183" s="1323">
        <v>126</v>
      </c>
      <c r="G183" s="64">
        <v>15</v>
      </c>
      <c r="H183" s="45">
        <f>B11*G183</f>
        <v>13500</v>
      </c>
      <c r="J183" s="482"/>
    </row>
    <row r="184" spans="1:11" x14ac:dyDescent="0.2">
      <c r="B184" t="s">
        <v>209</v>
      </c>
      <c r="E184" s="1323">
        <v>0</v>
      </c>
      <c r="F184" s="1240"/>
      <c r="K184" s="482"/>
    </row>
    <row r="185" spans="1:11" x14ac:dyDescent="0.2">
      <c r="E185" s="45"/>
    </row>
    <row r="186" spans="1:11" ht="18" x14ac:dyDescent="0.25">
      <c r="A186" s="71" t="s">
        <v>170</v>
      </c>
      <c r="C186" s="132" t="s">
        <v>216</v>
      </c>
      <c r="E186" s="64">
        <v>400</v>
      </c>
    </row>
    <row r="187" spans="1:11" x14ac:dyDescent="0.2">
      <c r="C187" s="132" t="s">
        <v>43</v>
      </c>
      <c r="E187" s="64">
        <v>0</v>
      </c>
    </row>
    <row r="188" spans="1:11" x14ac:dyDescent="0.2">
      <c r="C188" s="132" t="s">
        <v>44</v>
      </c>
      <c r="E188" s="64">
        <v>0</v>
      </c>
    </row>
    <row r="189" spans="1:11" x14ac:dyDescent="0.2">
      <c r="C189" s="132" t="s">
        <v>45</v>
      </c>
      <c r="E189" s="12" t="s">
        <v>217</v>
      </c>
    </row>
    <row r="190" spans="1:11" x14ac:dyDescent="0.2">
      <c r="C190"/>
      <c r="D190"/>
      <c r="E190"/>
      <c r="F190"/>
    </row>
    <row r="191" spans="1:11" ht="26.25" x14ac:dyDescent="0.4">
      <c r="A191" s="346" t="s">
        <v>466</v>
      </c>
      <c r="B191" s="367"/>
      <c r="C191" s="354"/>
      <c r="D191" s="355"/>
      <c r="E191" s="355"/>
      <c r="F191" s="355"/>
      <c r="G191" s="1374"/>
      <c r="H191" s="1375"/>
    </row>
    <row r="192" spans="1:11" x14ac:dyDescent="0.2">
      <c r="A192" t="s">
        <v>464</v>
      </c>
      <c r="B192">
        <v>5000</v>
      </c>
      <c r="C192"/>
      <c r="D192"/>
      <c r="E192"/>
      <c r="F192"/>
    </row>
    <row r="193" spans="1:8" x14ac:dyDescent="0.2">
      <c r="C193"/>
      <c r="D193"/>
      <c r="E193"/>
      <c r="F193"/>
    </row>
    <row r="194" spans="1:8" ht="26.25" x14ac:dyDescent="0.4">
      <c r="A194" s="346" t="s">
        <v>505</v>
      </c>
      <c r="B194" s="367"/>
      <c r="C194" s="354"/>
      <c r="D194" s="355"/>
      <c r="E194" s="355"/>
      <c r="F194" s="355"/>
      <c r="G194" s="1374"/>
      <c r="H194" s="1375"/>
    </row>
    <row r="195" spans="1:8" x14ac:dyDescent="0.2">
      <c r="A195" s="20"/>
      <c r="B195" t="str">
        <f>Eingabeseite!A30</f>
        <v>Hagelnetz (ja = 1, nein = 0)</v>
      </c>
      <c r="C195" s="1216">
        <v>0</v>
      </c>
      <c r="D195"/>
      <c r="E195"/>
      <c r="F195"/>
    </row>
  </sheetData>
  <mergeCells count="19">
    <mergeCell ref="B3:G3"/>
    <mergeCell ref="A5:B5"/>
    <mergeCell ref="A92:B92"/>
    <mergeCell ref="C92:G92"/>
    <mergeCell ref="A19:B19"/>
    <mergeCell ref="D29:E29"/>
    <mergeCell ref="G62:H62"/>
    <mergeCell ref="A141:A142"/>
    <mergeCell ref="G194:H194"/>
    <mergeCell ref="G191:H191"/>
    <mergeCell ref="C5:G5"/>
    <mergeCell ref="G84:H84"/>
    <mergeCell ref="G180:H180"/>
    <mergeCell ref="G109:H109"/>
    <mergeCell ref="F149:H149"/>
    <mergeCell ref="A126:A128"/>
    <mergeCell ref="A129:A132"/>
    <mergeCell ref="A112:A114"/>
    <mergeCell ref="A115:A118"/>
  </mergeCells>
  <phoneticPr fontId="25" type="noConversion"/>
  <dataValidations disablePrompts="1" count="3">
    <dataValidation type="custom" showErrorMessage="1" errorTitle="Falsche Bruttofläche" error="Die Bruttofläche entspricht nicht 10000 m2" sqref="E12:E13 J97" xr:uid="{00000000-0002-0000-0600-000000000000}">
      <formula1>E11*E12=10000</formula1>
    </dataValidation>
    <dataValidation type="whole" operator="notEqual" showErrorMessage="1" errorTitle="Falsche Länge" error="Es muss eine Länge eingetragen sein" sqref="E11 J96" xr:uid="{00000000-0002-0000-0600-000001000000}">
      <formula1>0</formula1>
    </dataValidation>
    <dataValidation type="list" allowBlank="1" showInputMessage="1" showErrorMessage="1" sqref="Q167 Q155:Q165" xr:uid="{00000000-0002-0000-0600-000002000000}">
      <formula1>Anzahl_Behandlungen</formula1>
    </dataValidation>
  </dataValidations>
  <printOptions gridLines="1" gridLinesSet="0"/>
  <pageMargins left="0.59055118110236227" right="0.39370078740157483" top="0.59055118110236227" bottom="0.59055118110236227" header="0.51181102362204722" footer="0.51181102362204722"/>
  <pageSetup paperSize="9" scale="54" orientation="portrait" r:id="rId1"/>
  <headerFooter alignWithMargins="0">
    <oddFooter>&amp;L&amp;6&amp;F&amp;C&amp;6&amp;A &amp;R&amp;6Kontakt: matthias.zuercher@faw.admin.ch</oddFooter>
  </headerFooter>
  <rowBreaks count="1" manualBreakCount="1">
    <brk id="90" max="13" man="1"/>
  </rowBreaks>
  <ignoredErrors>
    <ignoredError sqref="D59 D57" formulaRange="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tandardErstellung">
    <tabColor rgb="FF00359E"/>
  </sheetPr>
  <dimension ref="A1:AO196"/>
  <sheetViews>
    <sheetView zoomScale="90" zoomScaleNormal="90" workbookViewId="0">
      <selection activeCell="I5" sqref="I5"/>
    </sheetView>
  </sheetViews>
  <sheetFormatPr baseColWidth="10" defaultColWidth="11.42578125" defaultRowHeight="12.75" x14ac:dyDescent="0.2"/>
  <cols>
    <col min="1" max="1" width="30.85546875" customWidth="1"/>
    <col min="2" max="2" width="33.140625" customWidth="1"/>
    <col min="3" max="3" width="20" bestFit="1" customWidth="1"/>
    <col min="4" max="4" width="20.42578125" customWidth="1"/>
    <col min="5" max="5" width="17.7109375" customWidth="1"/>
    <col min="6" max="6" width="13.5703125" customWidth="1"/>
    <col min="7" max="7" width="13.42578125" customWidth="1"/>
    <col min="8" max="8" width="7.85546875" style="18" customWidth="1"/>
    <col min="9" max="9" width="27.5703125" style="18" bestFit="1" customWidth="1"/>
    <col min="10" max="10" width="11.42578125" style="18" customWidth="1"/>
    <col min="11" max="11" width="12.85546875" style="18" customWidth="1"/>
    <col min="12" max="41" width="11.42578125" style="18" customWidth="1"/>
  </cols>
  <sheetData>
    <row r="1" spans="1:41" ht="45.75" customHeight="1" x14ac:dyDescent="0.4">
      <c r="A1" s="346" t="str">
        <f>'Standard Vorgaben'!A1</f>
        <v>Arbokost 2024</v>
      </c>
      <c r="B1" s="331" t="str">
        <f>'Standard Vorgaben'!B8</f>
        <v>Tafelkirsche</v>
      </c>
      <c r="C1" s="328"/>
      <c r="D1" s="336"/>
      <c r="E1" s="328"/>
      <c r="F1" s="333"/>
      <c r="G1" s="328"/>
    </row>
    <row r="2" spans="1:41" ht="24.75" customHeight="1" x14ac:dyDescent="0.3">
      <c r="A2" s="265" t="str">
        <f>'Standard Vorgaben'!$A$2</f>
        <v>Standard 1ha</v>
      </c>
      <c r="B2" s="566">
        <f>E16</f>
        <v>900</v>
      </c>
      <c r="C2" s="328"/>
      <c r="D2" s="328"/>
      <c r="E2" s="328"/>
      <c r="F2" s="328"/>
      <c r="G2" s="569"/>
      <c r="H2" s="195"/>
    </row>
    <row r="3" spans="1:41" ht="43.5" customHeight="1" x14ac:dyDescent="0.25">
      <c r="A3" s="329" t="s">
        <v>239</v>
      </c>
      <c r="B3" s="1376" t="s">
        <v>240</v>
      </c>
      <c r="C3" s="1400"/>
      <c r="D3" s="1400"/>
      <c r="E3" s="1400"/>
      <c r="F3" s="1400"/>
      <c r="G3" s="1400"/>
      <c r="H3" s="195"/>
      <c r="I3" s="24"/>
    </row>
    <row r="4" spans="1:41" s="1" customFormat="1" ht="15" customHeight="1" x14ac:dyDescent="0.25">
      <c r="A4" s="51" t="s">
        <v>576</v>
      </c>
      <c r="B4" s="20"/>
      <c r="C4" s="1138"/>
      <c r="D4" s="1350">
        <v>0.18</v>
      </c>
      <c r="E4" s="327"/>
      <c r="F4" s="328"/>
      <c r="G4" s="328"/>
      <c r="H4" s="328"/>
    </row>
    <row r="5" spans="1:41" s="1" customFormat="1" ht="35.450000000000003" customHeight="1" x14ac:dyDescent="0.35">
      <c r="A5" s="440" t="s">
        <v>374</v>
      </c>
      <c r="B5" s="437"/>
      <c r="C5" s="437" t="s">
        <v>245</v>
      </c>
      <c r="D5" s="438"/>
      <c r="E5" s="439"/>
      <c r="F5" s="438"/>
      <c r="G5" s="438"/>
      <c r="H5" s="24"/>
      <c r="I5" s="1148"/>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 customFormat="1" ht="15.75" customHeight="1" x14ac:dyDescent="0.35">
      <c r="A6" s="441"/>
      <c r="B6" s="442"/>
      <c r="C6" s="442"/>
      <c r="D6" s="102"/>
      <c r="E6" s="443"/>
      <c r="F6" s="102"/>
      <c r="G6" s="707" t="s">
        <v>126</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27" customHeight="1" thickBot="1" x14ac:dyDescent="0.35">
      <c r="A7" s="444" t="s">
        <v>147</v>
      </c>
      <c r="B7" s="353"/>
      <c r="C7" s="354" t="str">
        <f>'Standard Vorgaben'!C15</f>
        <v>Nutzungsdauer:</v>
      </c>
      <c r="D7" s="355"/>
      <c r="E7" s="356"/>
      <c r="F7" s="355"/>
      <c r="G7" s="357"/>
    </row>
    <row r="8" spans="1:41" s="1" customFormat="1" ht="13.5" thickBot="1" x14ac:dyDescent="0.25">
      <c r="A8" s="104" t="s">
        <v>241</v>
      </c>
      <c r="B8" s="97" t="str">
        <f>'Standard Vorgaben'!B15</f>
        <v>Ja, Folie im 3. Stj. und 9. Stj.</v>
      </c>
      <c r="C8" s="681">
        <f>'Standard Vorgaben'!D15</f>
        <v>6</v>
      </c>
      <c r="D8" s="267" t="s">
        <v>151</v>
      </c>
      <c r="E8" s="14"/>
      <c r="F8" s="14"/>
      <c r="G8" s="203"/>
      <c r="I8"/>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s="1" customFormat="1" x14ac:dyDescent="0.2">
      <c r="A9" s="3" t="s">
        <v>591</v>
      </c>
      <c r="B9" s="97" t="str">
        <f>'Standard Vorgaben'!B17</f>
        <v>Ja, Netz im 3. Stj. und 10. Stj.</v>
      </c>
      <c r="C9" s="681" t="str">
        <f>'Standard Vorgaben'!D17</f>
        <v>7 Jahre</v>
      </c>
      <c r="D9" s="202"/>
      <c r="E9" s="279" t="s">
        <v>251</v>
      </c>
      <c r="F9" s="280" t="s">
        <v>252</v>
      </c>
      <c r="G9" s="203" t="s">
        <v>253</v>
      </c>
      <c r="I9"/>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x14ac:dyDescent="0.2">
      <c r="A10" s="97" t="str">
        <f>'Standard Vorgaben'!A16</f>
        <v>Versicherung Regendach</v>
      </c>
      <c r="B10" s="97" t="str">
        <f>'Standard Vorgaben'!B16</f>
        <v>Ja</v>
      </c>
      <c r="C10" s="1"/>
      <c r="D10" s="204" t="s">
        <v>3</v>
      </c>
      <c r="E10" s="283">
        <v>125</v>
      </c>
      <c r="F10" s="284">
        <v>120</v>
      </c>
      <c r="G10" s="521">
        <f>1-(F12/E12)</f>
        <v>9.9999999999999978E-2</v>
      </c>
    </row>
    <row r="11" spans="1:41" x14ac:dyDescent="0.2">
      <c r="A11" s="97" t="s">
        <v>94</v>
      </c>
      <c r="B11" s="97" t="str">
        <f>'Standard Vorgaben'!B18</f>
        <v>Ja</v>
      </c>
      <c r="C11" s="1"/>
      <c r="D11" s="204" t="s">
        <v>4</v>
      </c>
      <c r="E11" s="285">
        <v>80</v>
      </c>
      <c r="F11" s="286">
        <v>75</v>
      </c>
      <c r="G11" s="205"/>
      <c r="J11"/>
    </row>
    <row r="12" spans="1:41" ht="26.25" thickBot="1" x14ac:dyDescent="0.25">
      <c r="A12" s="513" t="s">
        <v>378</v>
      </c>
      <c r="B12" s="1"/>
      <c r="C12" s="1"/>
      <c r="D12" s="206" t="s">
        <v>66</v>
      </c>
      <c r="E12" s="518">
        <f>E10*E11</f>
        <v>10000</v>
      </c>
      <c r="F12" s="519">
        <f>F10*F11</f>
        <v>9000</v>
      </c>
      <c r="G12" s="520">
        <f>E12-F12</f>
        <v>1000</v>
      </c>
      <c r="I12"/>
    </row>
    <row r="13" spans="1:41" x14ac:dyDescent="0.2">
      <c r="A13" s="24" t="s">
        <v>83</v>
      </c>
      <c r="B13" s="682">
        <f>'Standard Vorgaben'!B22</f>
        <v>4</v>
      </c>
      <c r="C13" s="1"/>
      <c r="D13" s="207" t="s">
        <v>8</v>
      </c>
      <c r="E13" s="24"/>
      <c r="F13" s="281">
        <v>4</v>
      </c>
      <c r="G13" s="282"/>
      <c r="I13"/>
    </row>
    <row r="14" spans="1:41" ht="13.7" customHeight="1" x14ac:dyDescent="0.2">
      <c r="A14" s="24" t="s">
        <v>93</v>
      </c>
      <c r="B14" s="682">
        <f>'Standard Vorgaben'!B23</f>
        <v>16</v>
      </c>
      <c r="C14" s="51"/>
      <c r="D14" s="207" t="s">
        <v>11</v>
      </c>
      <c r="E14" s="24"/>
      <c r="F14" s="281">
        <v>2.5</v>
      </c>
      <c r="G14" s="282"/>
      <c r="I14"/>
    </row>
    <row r="15" spans="1:41" x14ac:dyDescent="0.2">
      <c r="A15" s="121" t="s">
        <v>10</v>
      </c>
      <c r="B15" s="683">
        <f>'Standard Vorgaben'!B24</f>
        <v>12</v>
      </c>
      <c r="C15" s="24"/>
      <c r="D15" s="207" t="s">
        <v>12</v>
      </c>
      <c r="E15" s="24"/>
      <c r="F15" s="194">
        <f>ROUND((F11/F13),0)</f>
        <v>19</v>
      </c>
      <c r="G15" s="201"/>
    </row>
    <row r="16" spans="1:41" ht="13.5" thickBot="1" x14ac:dyDescent="0.25">
      <c r="C16" s="24"/>
      <c r="D16" s="208" t="s">
        <v>146</v>
      </c>
      <c r="E16" s="1356">
        <v>900</v>
      </c>
      <c r="F16" s="591">
        <f>ROUND(((F10/F14)+1),0)*ROUND(F15,0)</f>
        <v>931</v>
      </c>
      <c r="G16" s="268"/>
      <c r="H16" s="101"/>
    </row>
    <row r="17" spans="1:41" ht="12.75" customHeight="1" x14ac:dyDescent="0.2">
      <c r="C17" s="24"/>
    </row>
    <row r="19" spans="1:41" ht="18" x14ac:dyDescent="0.25">
      <c r="A19" s="1193" t="s">
        <v>486</v>
      </c>
      <c r="B19" s="436"/>
      <c r="C19" s="436"/>
      <c r="D19" s="436"/>
      <c r="E19" s="821"/>
      <c r="F19" s="436"/>
      <c r="G19" s="367"/>
    </row>
    <row r="20" spans="1:41" s="17" customFormat="1" x14ac:dyDescent="0.2">
      <c r="A20" s="1"/>
      <c r="B20" s="3"/>
      <c r="C20" s="23" t="s">
        <v>18</v>
      </c>
      <c r="D20" s="23" t="s">
        <v>19</v>
      </c>
      <c r="E20" s="123" t="s">
        <v>20</v>
      </c>
      <c r="F20" s="124"/>
      <c r="G20" s="23"/>
      <c r="H20" s="22"/>
      <c r="I20" s="99"/>
      <c r="J20" s="99"/>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1" x14ac:dyDescent="0.2">
      <c r="A21" s="3" t="s">
        <v>15</v>
      </c>
      <c r="B21" s="1"/>
      <c r="C21" s="182">
        <f>E16</f>
        <v>900</v>
      </c>
      <c r="D21" s="61">
        <f>'Standard Vorgaben'!$C$26</f>
        <v>22</v>
      </c>
      <c r="E21" s="79">
        <f>C21*D21</f>
        <v>19800</v>
      </c>
      <c r="F21" s="232">
        <f>E21/E58</f>
        <v>0.74048299836076525</v>
      </c>
      <c r="G21" s="5"/>
      <c r="H21" s="583"/>
    </row>
    <row r="22" spans="1:41" x14ac:dyDescent="0.2">
      <c r="A22" s="3" t="s">
        <v>186</v>
      </c>
      <c r="B22" s="4" t="s">
        <v>448</v>
      </c>
      <c r="C22" s="182">
        <f>C21</f>
        <v>900</v>
      </c>
      <c r="D22" s="92">
        <f>0.83*(1+$D$4)</f>
        <v>0.97939999999999994</v>
      </c>
      <c r="E22" s="79">
        <f>C22*D22</f>
        <v>881.45999999999992</v>
      </c>
      <c r="F22" s="126">
        <f>E22/E58</f>
        <v>3.2964956754296969E-2</v>
      </c>
      <c r="G22" s="112"/>
      <c r="H22" s="583"/>
    </row>
    <row r="23" spans="1:41" x14ac:dyDescent="0.2">
      <c r="A23" s="3"/>
      <c r="B23" s="4"/>
      <c r="C23" s="182"/>
      <c r="D23" s="61"/>
      <c r="E23" s="79"/>
      <c r="F23" s="126"/>
      <c r="G23" s="112"/>
      <c r="H23" s="583"/>
    </row>
    <row r="24" spans="1:41" x14ac:dyDescent="0.2">
      <c r="A24" s="3" t="s">
        <v>21</v>
      </c>
      <c r="B24" s="1"/>
      <c r="C24" s="6"/>
      <c r="D24" s="1149"/>
      <c r="E24" s="197"/>
      <c r="F24" s="125"/>
      <c r="G24" s="1"/>
    </row>
    <row r="25" spans="1:41" x14ac:dyDescent="0.2">
      <c r="A25" s="1110" t="s">
        <v>566</v>
      </c>
      <c r="B25" s="23" t="s">
        <v>18</v>
      </c>
      <c r="C25" s="23" t="s">
        <v>59</v>
      </c>
      <c r="D25" s="23" t="s">
        <v>19</v>
      </c>
      <c r="E25" s="123" t="s">
        <v>20</v>
      </c>
      <c r="F25" s="124"/>
      <c r="G25" s="23"/>
    </row>
    <row r="26" spans="1:41" x14ac:dyDescent="0.2">
      <c r="A26" s="4" t="str">
        <f>'Standard Vorgaben'!B95</f>
        <v>Biorga N (12 %)</v>
      </c>
      <c r="B26" s="12">
        <f>'Standard Vorgaben'!B99</f>
        <v>1</v>
      </c>
      <c r="C26" s="1340">
        <f>'Standard Vorgaben'!B98</f>
        <v>125</v>
      </c>
      <c r="D26" s="1339">
        <f>'Standard Vorgaben'!B96</f>
        <v>1.22</v>
      </c>
      <c r="E26" s="43">
        <f>C26*D26</f>
        <v>152.5</v>
      </c>
      <c r="F26" s="127">
        <f>E26/E58</f>
        <v>5.7032150126271062E-3</v>
      </c>
      <c r="G26" s="5"/>
    </row>
    <row r="27" spans="1:41" x14ac:dyDescent="0.2">
      <c r="A27" s="4" t="str">
        <f>'Standard Vorgaben'!C95</f>
        <v>Mist 
(Frischsubstanz)</v>
      </c>
      <c r="B27" s="12">
        <f>'Standard Vorgaben'!C99</f>
        <v>0</v>
      </c>
      <c r="C27" s="1340">
        <f>'Standard Vorgaben'!C98</f>
        <v>0</v>
      </c>
      <c r="D27" s="1339">
        <f>'Standard Vorgaben'!C96</f>
        <v>0.02</v>
      </c>
      <c r="E27" s="43">
        <f>C27*D27</f>
        <v>0</v>
      </c>
      <c r="F27" s="127">
        <f>E27/E58</f>
        <v>0</v>
      </c>
      <c r="G27" s="5"/>
    </row>
    <row r="28" spans="1:41" x14ac:dyDescent="0.2">
      <c r="A28" s="4" t="str">
        <f>'Standard Vorgaben'!D95</f>
        <v>Kompost (Trockensubstanz)</v>
      </c>
      <c r="B28" s="12">
        <f>'Standard Vorgaben'!D99</f>
        <v>0</v>
      </c>
      <c r="C28" s="1340">
        <f>'Standard Vorgaben'!D98</f>
        <v>0</v>
      </c>
      <c r="D28" s="1339">
        <f>'Standard Vorgaben'!D96</f>
        <v>0.02</v>
      </c>
      <c r="E28" s="43">
        <f>C28*D28</f>
        <v>0</v>
      </c>
      <c r="F28" s="127">
        <f>E28/E58</f>
        <v>0</v>
      </c>
      <c r="G28" s="5"/>
      <c r="M28" s="20"/>
      <c r="N28" s="13"/>
      <c r="O28" s="488"/>
      <c r="P28" s="30"/>
    </row>
    <row r="29" spans="1:41" x14ac:dyDescent="0.2">
      <c r="B29" s="1" t="s">
        <v>37</v>
      </c>
      <c r="C29" s="1341">
        <v>40</v>
      </c>
      <c r="D29" s="1337">
        <v>7.2</v>
      </c>
      <c r="E29" s="43">
        <f>C29*D29</f>
        <v>288</v>
      </c>
      <c r="F29" s="127">
        <f>E29/E58</f>
        <v>1.0770661794338403E-2</v>
      </c>
      <c r="G29" s="5"/>
      <c r="H29" s="583"/>
    </row>
    <row r="30" spans="1:41" x14ac:dyDescent="0.2">
      <c r="B30" s="1" t="s">
        <v>22</v>
      </c>
      <c r="C30" s="6"/>
      <c r="D30" s="45"/>
      <c r="E30" s="92">
        <v>150</v>
      </c>
      <c r="F30" s="127">
        <f>E30/E58</f>
        <v>5.6097196845512516E-3</v>
      </c>
      <c r="G30" s="583"/>
      <c r="H30" s="583"/>
    </row>
    <row r="31" spans="1:41" ht="12.75" customHeight="1" thickBot="1" x14ac:dyDescent="0.25">
      <c r="B31" s="1" t="s">
        <v>187</v>
      </c>
      <c r="C31" s="6"/>
      <c r="D31" s="45"/>
      <c r="E31" s="687">
        <v>500</v>
      </c>
      <c r="F31" s="127">
        <f>E31/E58</f>
        <v>1.8699065615170839E-2</v>
      </c>
      <c r="G31" s="5"/>
      <c r="H31" s="583"/>
    </row>
    <row r="32" spans="1:41" x14ac:dyDescent="0.2">
      <c r="A32" s="1"/>
      <c r="B32" s="1"/>
      <c r="C32" s="1"/>
      <c r="D32" s="61"/>
      <c r="E32" s="79">
        <f>SUM(E26:E31)</f>
        <v>1090.5</v>
      </c>
      <c r="F32" s="232">
        <f>E32/E58</f>
        <v>4.0782662106687601E-2</v>
      </c>
      <c r="G32" s="5"/>
    </row>
    <row r="33" spans="1:8" ht="15" customHeight="1" x14ac:dyDescent="0.25">
      <c r="A33" s="446" t="s">
        <v>23</v>
      </c>
      <c r="B33" s="432"/>
      <c r="C33" s="468"/>
      <c r="D33" s="469"/>
      <c r="E33" s="470">
        <f>E32+E22+E21</f>
        <v>21771.96</v>
      </c>
      <c r="F33" s="471">
        <f>E33/E58</f>
        <v>0.81423061722174972</v>
      </c>
      <c r="G33" s="472"/>
    </row>
    <row r="34" spans="1:8" x14ac:dyDescent="0.2">
      <c r="A34" s="3"/>
      <c r="B34" s="1"/>
      <c r="C34" s="119" t="s">
        <v>92</v>
      </c>
      <c r="D34" s="122" t="s">
        <v>25</v>
      </c>
      <c r="E34" s="120" t="s">
        <v>20</v>
      </c>
      <c r="F34" s="514"/>
      <c r="G34" s="515"/>
    </row>
    <row r="35" spans="1:8" x14ac:dyDescent="0.2">
      <c r="A35" s="3" t="s">
        <v>27</v>
      </c>
      <c r="B35" s="1" t="str">
        <f>'Standard Vorgaben'!B174</f>
        <v>Spatenmaschine 2m</v>
      </c>
      <c r="C35" s="46">
        <f>'Standard Vorgaben'!C174</f>
        <v>1.5</v>
      </c>
      <c r="D35" s="256">
        <f>'Standard Vorgaben'!D174</f>
        <v>52</v>
      </c>
      <c r="E35" s="43">
        <f>C35*D35</f>
        <v>78</v>
      </c>
      <c r="F35" s="127">
        <f>E35/E58</f>
        <v>2.9170542359666508E-3</v>
      </c>
      <c r="G35" s="631" t="s">
        <v>190</v>
      </c>
    </row>
    <row r="36" spans="1:8" x14ac:dyDescent="0.2">
      <c r="A36" s="235"/>
      <c r="B36" s="1" t="str">
        <f>'Standard Vorgaben'!B175</f>
        <v xml:space="preserve">Bodenfräse mit Stabkrümler 2.1m </v>
      </c>
      <c r="C36" s="46">
        <f>'Standard Vorgaben'!C175</f>
        <v>2</v>
      </c>
      <c r="D36" s="256">
        <f>'Standard Vorgaben'!D175</f>
        <v>62</v>
      </c>
      <c r="E36" s="43">
        <f>C36*D36</f>
        <v>124</v>
      </c>
      <c r="F36" s="127">
        <f>E36/E58</f>
        <v>4.6373682725623679E-3</v>
      </c>
      <c r="G36" s="631" t="s">
        <v>190</v>
      </c>
    </row>
    <row r="37" spans="1:8" x14ac:dyDescent="0.2">
      <c r="A37" s="1342">
        <f>B26</f>
        <v>1</v>
      </c>
      <c r="B37" s="4" t="str">
        <f>'Standard Vorgaben'!B161</f>
        <v>Düngerstreuer Einkasten 2.5 m</v>
      </c>
      <c r="C37" s="1343">
        <f>'Standard Vorgaben'!C161*A37</f>
        <v>1</v>
      </c>
      <c r="D37" s="1344">
        <f>'Standard Vorgaben'!D161</f>
        <v>18</v>
      </c>
      <c r="E37" s="43">
        <f>C37*D37</f>
        <v>18</v>
      </c>
      <c r="F37" s="127">
        <f>E37/E58</f>
        <v>6.731663621461502E-4</v>
      </c>
      <c r="G37" s="1169"/>
    </row>
    <row r="38" spans="1:8" x14ac:dyDescent="0.2">
      <c r="A38" s="1342">
        <f>B27+B28</f>
        <v>0</v>
      </c>
      <c r="B38" s="4" t="str">
        <f>'Standard Vorgaben'!B162</f>
        <v>Kompoststreuer für Obstanlagen, um 3m³</v>
      </c>
      <c r="C38" s="1343">
        <f>'Standard Vorgaben'!C162*A38</f>
        <v>0</v>
      </c>
      <c r="D38" s="1345">
        <f>'Standard Vorgaben'!D162</f>
        <v>44</v>
      </c>
      <c r="E38" s="43">
        <f>A38*D38</f>
        <v>0</v>
      </c>
      <c r="F38" s="127">
        <f>E38/E58</f>
        <v>0</v>
      </c>
      <c r="G38" s="1169"/>
    </row>
    <row r="39" spans="1:8" x14ac:dyDescent="0.2">
      <c r="A39" s="1"/>
      <c r="B39" s="1" t="str">
        <f>'Standard Vorgaben'!B176</f>
        <v>Sämaschine 3 m</v>
      </c>
      <c r="C39" s="46">
        <f>'Standard Vorgaben'!C176</f>
        <v>1</v>
      </c>
      <c r="D39" s="256">
        <f>'Standard Vorgaben'!D176</f>
        <v>90</v>
      </c>
      <c r="E39" s="43">
        <f>C39*D39</f>
        <v>90</v>
      </c>
      <c r="F39" s="127">
        <f>E39/E58</f>
        <v>3.3658318107307509E-3</v>
      </c>
      <c r="G39" s="5"/>
    </row>
    <row r="40" spans="1:8" ht="13.5" thickBot="1" x14ac:dyDescent="0.25">
      <c r="A40" s="1"/>
      <c r="B40" s="1" t="str">
        <f>'Standard Vorgaben'!B177</f>
        <v>Pneuwagen 2achsig, 3 t</v>
      </c>
      <c r="C40" s="686">
        <f>(C52+C53)*'Standard Vorgaben'!C177</f>
        <v>8.5</v>
      </c>
      <c r="D40" s="136">
        <f>'Standard Vorgaben'!D177</f>
        <v>25</v>
      </c>
      <c r="E40" s="198">
        <f>C40*D40</f>
        <v>212.5</v>
      </c>
      <c r="F40" s="127">
        <f>E40/E58</f>
        <v>7.9471028864476056E-3</v>
      </c>
      <c r="G40" s="5"/>
    </row>
    <row r="41" spans="1:8" x14ac:dyDescent="0.2">
      <c r="A41" s="1"/>
      <c r="B41" s="1"/>
      <c r="C41" s="685">
        <f>SUM(C35:C40)</f>
        <v>14</v>
      </c>
      <c r="D41" s="61"/>
      <c r="E41" s="43">
        <f>SUM(E35:E40)</f>
        <v>522.5</v>
      </c>
      <c r="F41" s="125">
        <f>E41/E58</f>
        <v>1.9540523567853525E-2</v>
      </c>
      <c r="G41" s="5"/>
    </row>
    <row r="42" spans="1:8" x14ac:dyDescent="0.2">
      <c r="A42" s="3" t="s">
        <v>28</v>
      </c>
      <c r="B42" s="1" t="str">
        <f>'Standard Vorgaben'!B173</f>
        <v>Obstbautraktor 4-Rad (45-54 kW, 61-73 PS)</v>
      </c>
      <c r="C42" s="46">
        <f>C41</f>
        <v>14</v>
      </c>
      <c r="D42" s="136">
        <f>'Standard Vorgaben'!D173</f>
        <v>41</v>
      </c>
      <c r="E42" s="43">
        <f>C42*D42</f>
        <v>574</v>
      </c>
      <c r="F42" s="127">
        <f>E42/E58</f>
        <v>2.1466527326216123E-2</v>
      </c>
      <c r="G42" s="5"/>
    </row>
    <row r="43" spans="1:8" ht="13.5" thickBot="1" x14ac:dyDescent="0.25">
      <c r="A43" s="1" t="s">
        <v>29</v>
      </c>
      <c r="B43" s="1"/>
      <c r="C43" s="46"/>
      <c r="D43" s="61"/>
      <c r="E43" s="198">
        <f>'Standard Vorgaben'!D178</f>
        <v>220</v>
      </c>
      <c r="F43" s="127">
        <f>E43/E58</f>
        <v>8.2275888706751683E-3</v>
      </c>
      <c r="G43" s="5"/>
    </row>
    <row r="44" spans="1:8" x14ac:dyDescent="0.2">
      <c r="A44" s="3" t="s">
        <v>30</v>
      </c>
      <c r="B44" s="1"/>
      <c r="C44" s="46"/>
      <c r="D44" s="61"/>
      <c r="E44" s="79">
        <f>E41+E42+E43</f>
        <v>1316.5</v>
      </c>
      <c r="F44" s="125">
        <f>E44/E58</f>
        <v>4.923463976474482E-2</v>
      </c>
      <c r="G44" s="5"/>
    </row>
    <row r="45" spans="1:8" x14ac:dyDescent="0.2">
      <c r="A45" s="3"/>
      <c r="B45" s="1"/>
      <c r="C45" s="46"/>
      <c r="D45" s="61"/>
      <c r="E45" s="79"/>
      <c r="F45" s="125"/>
      <c r="G45" s="5"/>
    </row>
    <row r="46" spans="1:8" x14ac:dyDescent="0.2">
      <c r="A46" s="1"/>
      <c r="B46" s="1"/>
      <c r="C46" s="119" t="s">
        <v>31</v>
      </c>
      <c r="D46" s="122" t="s">
        <v>25</v>
      </c>
      <c r="E46" s="120" t="s">
        <v>26</v>
      </c>
      <c r="F46" s="516"/>
      <c r="G46" s="517"/>
    </row>
    <row r="47" spans="1:8" x14ac:dyDescent="0.2">
      <c r="A47" s="3" t="s">
        <v>32</v>
      </c>
      <c r="B47" s="1" t="s">
        <v>191</v>
      </c>
      <c r="C47" s="46">
        <f>C35</f>
        <v>1.5</v>
      </c>
      <c r="D47" s="61">
        <f>'Standard Vorgaben'!$C$31</f>
        <v>32.700000000000003</v>
      </c>
      <c r="E47" s="43">
        <f t="shared" ref="E47:E55" si="0">C47*D47</f>
        <v>49.050000000000004</v>
      </c>
      <c r="F47" s="127">
        <f>E47/E58</f>
        <v>1.8343783368482594E-3</v>
      </c>
      <c r="G47" s="5"/>
      <c r="H47" s="583"/>
    </row>
    <row r="48" spans="1:8" x14ac:dyDescent="0.2">
      <c r="A48" s="1"/>
      <c r="B48" s="1" t="s">
        <v>192</v>
      </c>
      <c r="C48" s="46">
        <f>C36</f>
        <v>2</v>
      </c>
      <c r="D48" s="61">
        <f>'Standard Vorgaben'!$C$31</f>
        <v>32.700000000000003</v>
      </c>
      <c r="E48" s="43">
        <f t="shared" si="0"/>
        <v>65.400000000000006</v>
      </c>
      <c r="F48" s="127">
        <f>E48/E58</f>
        <v>2.4458377824643461E-3</v>
      </c>
      <c r="G48" s="5"/>
      <c r="H48" s="583"/>
    </row>
    <row r="49" spans="1:41" x14ac:dyDescent="0.2">
      <c r="A49" s="1"/>
      <c r="B49" s="4" t="s">
        <v>33</v>
      </c>
      <c r="C49" s="1343">
        <f>C37+C38</f>
        <v>1</v>
      </c>
      <c r="D49" s="61">
        <f>'Standard Vorgaben'!$C$31</f>
        <v>32.700000000000003</v>
      </c>
      <c r="E49" s="43">
        <f t="shared" si="0"/>
        <v>32.700000000000003</v>
      </c>
      <c r="F49" s="127">
        <f>E49/E58</f>
        <v>1.2229188912321731E-3</v>
      </c>
      <c r="G49" s="1169"/>
      <c r="H49" s="583"/>
    </row>
    <row r="50" spans="1:41" x14ac:dyDescent="0.2">
      <c r="A50" s="1"/>
      <c r="B50" s="1" t="s">
        <v>34</v>
      </c>
      <c r="C50" s="135">
        <v>1.1000000000000001</v>
      </c>
      <c r="D50" s="61">
        <f>'Standard Vorgaben'!$C$31</f>
        <v>32.700000000000003</v>
      </c>
      <c r="E50" s="43">
        <f t="shared" si="0"/>
        <v>35.970000000000006</v>
      </c>
      <c r="F50" s="127">
        <f>E50/E58</f>
        <v>1.3452107803553904E-3</v>
      </c>
      <c r="H50" s="583"/>
    </row>
    <row r="51" spans="1:41" x14ac:dyDescent="0.2">
      <c r="A51" s="1"/>
      <c r="B51" s="1" t="s">
        <v>35</v>
      </c>
      <c r="C51" s="135">
        <v>7.5</v>
      </c>
      <c r="D51" s="61">
        <f>'Standard Vorgaben'!$C$31</f>
        <v>32.700000000000003</v>
      </c>
      <c r="E51" s="43">
        <f t="shared" si="0"/>
        <v>245.25000000000003</v>
      </c>
      <c r="F51" s="127">
        <f>E51/E58</f>
        <v>9.171891684241297E-3</v>
      </c>
      <c r="G51" s="5"/>
      <c r="H51" s="583"/>
    </row>
    <row r="52" spans="1:41" x14ac:dyDescent="0.2">
      <c r="A52" s="11" t="s">
        <v>113</v>
      </c>
      <c r="B52" s="1" t="s">
        <v>36</v>
      </c>
      <c r="C52" s="135">
        <v>75</v>
      </c>
      <c r="D52" s="61">
        <f>'Standard Vorgaben'!$C$31</f>
        <v>32.700000000000003</v>
      </c>
      <c r="E52" s="43">
        <f t="shared" si="0"/>
        <v>2452.5</v>
      </c>
      <c r="F52" s="127">
        <f>E52/E58</f>
        <v>9.171891684241297E-2</v>
      </c>
      <c r="G52" s="5"/>
      <c r="H52" s="583"/>
    </row>
    <row r="53" spans="1:41" x14ac:dyDescent="0.2">
      <c r="A53" s="11" t="s">
        <v>112</v>
      </c>
      <c r="B53" s="1" t="s">
        <v>193</v>
      </c>
      <c r="C53" s="135">
        <v>10</v>
      </c>
      <c r="D53" s="61">
        <f>'Standard Vorgaben'!$C$31</f>
        <v>32.700000000000003</v>
      </c>
      <c r="E53" s="43">
        <f t="shared" si="0"/>
        <v>327</v>
      </c>
      <c r="F53" s="127">
        <f>E53/E58</f>
        <v>1.2229188912321729E-2</v>
      </c>
      <c r="G53" s="5"/>
      <c r="H53" s="583"/>
    </row>
    <row r="54" spans="1:41" x14ac:dyDescent="0.2">
      <c r="A54" s="1"/>
      <c r="B54" s="1" t="s">
        <v>37</v>
      </c>
      <c r="C54" s="46">
        <f>C39</f>
        <v>1</v>
      </c>
      <c r="D54" s="61">
        <f>'Standard Vorgaben'!$C$31</f>
        <v>32.700000000000003</v>
      </c>
      <c r="E54" s="43">
        <f t="shared" si="0"/>
        <v>32.700000000000003</v>
      </c>
      <c r="F54" s="127">
        <f>E54/E58</f>
        <v>1.2229188912321731E-3</v>
      </c>
      <c r="G54" s="5"/>
      <c r="H54" s="583"/>
    </row>
    <row r="55" spans="1:41" ht="12.75" customHeight="1" thickBot="1" x14ac:dyDescent="0.25">
      <c r="A55" s="1"/>
      <c r="B55" s="1" t="s">
        <v>153</v>
      </c>
      <c r="C55" s="402">
        <f>SUM(C47:C54)*0.1</f>
        <v>9.91</v>
      </c>
      <c r="D55" s="61">
        <f>'Standard Vorgaben'!$C$27</f>
        <v>41.4</v>
      </c>
      <c r="E55" s="198">
        <f t="shared" si="0"/>
        <v>410.274</v>
      </c>
      <c r="F55" s="127">
        <f>E55/E58</f>
        <v>1.5343480892397201E-2</v>
      </c>
      <c r="G55" s="5" t="s">
        <v>246</v>
      </c>
    </row>
    <row r="56" spans="1:41" x14ac:dyDescent="0.2">
      <c r="A56" s="1"/>
      <c r="B56" s="1"/>
      <c r="C56" s="216">
        <f>SUM(C47:C55)</f>
        <v>109.00999999999999</v>
      </c>
      <c r="D56" s="61"/>
      <c r="E56" s="79">
        <f>SUM(E47:E55)</f>
        <v>3650.8439999999996</v>
      </c>
      <c r="F56" s="125">
        <f>E56/E58</f>
        <v>0.13653474301350552</v>
      </c>
      <c r="G56" s="5" t="s">
        <v>247</v>
      </c>
    </row>
    <row r="57" spans="1:41" s="21" customFormat="1" ht="16.5" thickBot="1" x14ac:dyDescent="0.3">
      <c r="A57" s="446" t="s">
        <v>38</v>
      </c>
      <c r="B57" s="447"/>
      <c r="C57" s="448"/>
      <c r="D57" s="449"/>
      <c r="E57" s="1180">
        <f>E56+E44</f>
        <v>4967.3439999999991</v>
      </c>
      <c r="F57" s="451">
        <f>E57/E58</f>
        <v>0.18576938277825031</v>
      </c>
      <c r="G57" s="474"/>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row>
    <row r="58" spans="1:41" s="27" customFormat="1" ht="18" x14ac:dyDescent="0.25">
      <c r="A58" s="457" t="s">
        <v>489</v>
      </c>
      <c r="B58" s="447"/>
      <c r="C58" s="448"/>
      <c r="D58" s="449"/>
      <c r="E58" s="1181">
        <f>E57+E33</f>
        <v>26739.303999999996</v>
      </c>
      <c r="F58" s="451">
        <f>E58/E58</f>
        <v>1</v>
      </c>
      <c r="G58" s="45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row>
    <row r="59" spans="1:41" s="27" customFormat="1" ht="12.75" customHeight="1" x14ac:dyDescent="0.25">
      <c r="A59" s="462"/>
      <c r="B59" s="463"/>
      <c r="C59" s="464"/>
      <c r="D59" s="465"/>
      <c r="E59" s="466"/>
      <c r="F59" s="467"/>
      <c r="G59" s="26"/>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row>
    <row r="60" spans="1:41" ht="20.25" x14ac:dyDescent="0.3">
      <c r="A60" s="444" t="s">
        <v>501</v>
      </c>
      <c r="B60" s="436"/>
      <c r="C60" s="371"/>
      <c r="D60" s="371"/>
      <c r="E60" s="371"/>
      <c r="F60" s="1391"/>
      <c r="G60" s="1392"/>
      <c r="I60" s="1146"/>
      <c r="J60"/>
      <c r="K60"/>
      <c r="L60"/>
    </row>
    <row r="61" spans="1:41" ht="12.75" customHeight="1" x14ac:dyDescent="0.25">
      <c r="A61" s="453"/>
      <c r="B61" s="18"/>
      <c r="C61" s="134"/>
      <c r="D61" s="134"/>
      <c r="E61" s="134" t="s">
        <v>20</v>
      </c>
      <c r="F61" s="48"/>
      <c r="I61" s="1"/>
      <c r="J61" s="1"/>
      <c r="K61" s="1"/>
      <c r="L61" s="1"/>
      <c r="M61" s="24"/>
    </row>
    <row r="62" spans="1:41" ht="12.75" customHeight="1" x14ac:dyDescent="0.2">
      <c r="B62" s="1" t="s">
        <v>474</v>
      </c>
      <c r="C62" s="523"/>
      <c r="D62" s="61"/>
      <c r="E62" s="1159">
        <f>19007.8*1.081</f>
        <v>20547.431799999998</v>
      </c>
      <c r="F62" s="127">
        <f>E62/E76</f>
        <v>0.43947520538216556</v>
      </c>
      <c r="H62" s="482"/>
      <c r="I62" s="1"/>
      <c r="J62" s="523"/>
      <c r="K62" s="61"/>
      <c r="L62" s="43"/>
      <c r="M62" s="24"/>
    </row>
    <row r="63" spans="1:41" ht="12.75" customHeight="1" x14ac:dyDescent="0.2">
      <c r="B63" s="1" t="s">
        <v>475</v>
      </c>
      <c r="C63" s="137"/>
      <c r="D63" s="61"/>
      <c r="E63" s="1160">
        <f>16153.6*1.081</f>
        <v>17462.0416</v>
      </c>
      <c r="F63" s="127">
        <f>E63/E76</f>
        <v>0.37348386860453869</v>
      </c>
      <c r="H63" s="482"/>
      <c r="I63" s="1"/>
      <c r="J63" s="137"/>
      <c r="K63" s="61"/>
      <c r="L63" s="43"/>
      <c r="M63" s="24"/>
    </row>
    <row r="64" spans="1:41" ht="12.75" customHeight="1" x14ac:dyDescent="0.2">
      <c r="B64" s="1"/>
      <c r="C64" s="137"/>
      <c r="D64" s="105"/>
      <c r="E64" s="199">
        <f>SUM(E62:E63)</f>
        <v>38009.473400000003</v>
      </c>
      <c r="F64" s="313">
        <f>E64/$E$76</f>
        <v>0.81295907398670431</v>
      </c>
      <c r="I64" s="1"/>
      <c r="J64" s="137"/>
      <c r="K64" s="93"/>
      <c r="L64" s="117"/>
      <c r="M64" s="24"/>
    </row>
    <row r="65" spans="1:41" s="1" customFormat="1" ht="12.75" customHeight="1" x14ac:dyDescent="0.2">
      <c r="B65" s="1" t="s">
        <v>115</v>
      </c>
      <c r="C65" s="137"/>
      <c r="D65" s="105"/>
      <c r="E65" s="139">
        <v>350</v>
      </c>
      <c r="F65" s="313">
        <f>E65/$E$76</f>
        <v>7.4859147060781566E-3</v>
      </c>
      <c r="H65" s="24"/>
      <c r="J65" s="137"/>
      <c r="K65" s="93"/>
      <c r="L65" s="117"/>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 customHeight="1" x14ac:dyDescent="0.25">
      <c r="A66" s="446" t="s">
        <v>23</v>
      </c>
      <c r="B66" s="447"/>
      <c r="C66" s="1183"/>
      <c r="D66" s="449"/>
      <c r="E66" s="1184">
        <f>E64+E65</f>
        <v>38359.473400000003</v>
      </c>
      <c r="F66" s="1182">
        <f>E66/E76</f>
        <v>0.82044498869278248</v>
      </c>
      <c r="G66" s="447"/>
      <c r="I66" s="24"/>
      <c r="J66" s="24"/>
      <c r="K66" s="24"/>
      <c r="L66" s="24"/>
      <c r="M66" s="24"/>
    </row>
    <row r="67" spans="1:41" ht="12" customHeight="1" x14ac:dyDescent="0.2">
      <c r="A67" s="3" t="s">
        <v>27</v>
      </c>
      <c r="C67" s="119" t="s">
        <v>92</v>
      </c>
      <c r="D67" s="122" t="s">
        <v>25</v>
      </c>
      <c r="E67" s="120" t="s">
        <v>20</v>
      </c>
      <c r="F67" s="127"/>
      <c r="I67" s="24"/>
      <c r="J67" s="24"/>
      <c r="K67" s="24"/>
      <c r="L67" s="24"/>
      <c r="M67" s="24"/>
    </row>
    <row r="68" spans="1:41" ht="12" customHeight="1" x14ac:dyDescent="0.2">
      <c r="A68" s="18"/>
      <c r="B68" s="1" t="s">
        <v>110</v>
      </c>
      <c r="C68" s="60">
        <f>'Standard Vorgaben'!C177*C74</f>
        <v>15</v>
      </c>
      <c r="D68" s="138">
        <f>D40</f>
        <v>25</v>
      </c>
      <c r="E68" s="59">
        <f>C68*D68</f>
        <v>375</v>
      </c>
      <c r="F68" s="127">
        <f>E68/E76</f>
        <v>8.0206228993694537E-3</v>
      </c>
      <c r="G68" s="5"/>
    </row>
    <row r="69" spans="1:41" ht="12" customHeight="1" x14ac:dyDescent="0.2">
      <c r="A69" s="18"/>
      <c r="B69" s="1" t="s">
        <v>398</v>
      </c>
      <c r="C69" s="137">
        <f>C68</f>
        <v>15</v>
      </c>
      <c r="D69" s="136">
        <f>D42</f>
        <v>41</v>
      </c>
      <c r="E69" s="59">
        <f>C69*D69</f>
        <v>615</v>
      </c>
      <c r="F69" s="127">
        <f>E69/E76</f>
        <v>1.3153821554965903E-2</v>
      </c>
      <c r="G69" s="5"/>
    </row>
    <row r="70" spans="1:41" ht="12" customHeight="1" x14ac:dyDescent="0.2">
      <c r="A70" s="18"/>
      <c r="B70" s="1109" t="s">
        <v>477</v>
      </c>
      <c r="C70" s="137">
        <v>10</v>
      </c>
      <c r="D70" s="136">
        <v>200</v>
      </c>
      <c r="E70" s="114">
        <f>(C70*D70)+500</f>
        <v>2500</v>
      </c>
      <c r="F70" s="127">
        <f>E70/E76</f>
        <v>5.3470819329129692E-2</v>
      </c>
      <c r="G70" s="5"/>
    </row>
    <row r="71" spans="1:41" ht="12" customHeight="1" x14ac:dyDescent="0.2">
      <c r="A71" s="18"/>
      <c r="B71" s="1109"/>
      <c r="C71" s="46"/>
      <c r="D71" s="136"/>
      <c r="E71" s="117">
        <f>SUM(E68:E70)</f>
        <v>3490</v>
      </c>
      <c r="F71" s="313">
        <f>E71/E76</f>
        <v>7.4645263783465046E-2</v>
      </c>
      <c r="G71" s="5"/>
    </row>
    <row r="72" spans="1:41" ht="12" customHeight="1" x14ac:dyDescent="0.2">
      <c r="A72" s="18"/>
      <c r="B72" s="1"/>
      <c r="C72" s="50"/>
      <c r="D72" s="136"/>
      <c r="G72" s="5"/>
    </row>
    <row r="73" spans="1:41" ht="12" customHeight="1" x14ac:dyDescent="0.2">
      <c r="A73" s="3" t="s">
        <v>32</v>
      </c>
      <c r="C73" s="119" t="s">
        <v>31</v>
      </c>
      <c r="D73" s="122" t="s">
        <v>25</v>
      </c>
      <c r="E73" s="120" t="s">
        <v>26</v>
      </c>
      <c r="F73" s="127"/>
      <c r="G73" s="5"/>
    </row>
    <row r="74" spans="1:41" ht="12" customHeight="1" x14ac:dyDescent="0.2">
      <c r="B74" s="4" t="s">
        <v>492</v>
      </c>
      <c r="C74" s="1161">
        <v>150</v>
      </c>
      <c r="D74" s="61">
        <f>'Standard Vorgaben'!$C$31</f>
        <v>32.700000000000003</v>
      </c>
      <c r="E74" s="199">
        <f>C74*D74</f>
        <v>4905</v>
      </c>
      <c r="F74" s="313">
        <f>E74/E76</f>
        <v>0.10490974752375244</v>
      </c>
      <c r="G74" s="5"/>
      <c r="H74" s="482"/>
    </row>
    <row r="75" spans="1:41" s="21" customFormat="1" ht="15" customHeight="1" x14ac:dyDescent="0.25">
      <c r="A75" s="446" t="s">
        <v>38</v>
      </c>
      <c r="B75" s="447"/>
      <c r="C75" s="448"/>
      <c r="D75" s="449"/>
      <c r="E75" s="470">
        <f>E71+E74</f>
        <v>8395</v>
      </c>
      <c r="F75" s="1182">
        <f>E75/E76</f>
        <v>0.17955501130721749</v>
      </c>
      <c r="G75" s="445"/>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row>
    <row r="76" spans="1:41" s="27" customFormat="1" ht="18" customHeight="1" thickBot="1" x14ac:dyDescent="0.3">
      <c r="A76" s="457" t="s">
        <v>502</v>
      </c>
      <c r="B76" s="454"/>
      <c r="C76" s="455"/>
      <c r="D76" s="456"/>
      <c r="E76" s="1198">
        <f>E66+E75</f>
        <v>46754.473400000003</v>
      </c>
      <c r="F76" s="1195">
        <f>E76/E76</f>
        <v>1</v>
      </c>
      <c r="G76" s="445"/>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row>
    <row r="77" spans="1:41" s="142" customFormat="1" ht="12" customHeight="1" x14ac:dyDescent="0.25">
      <c r="A77" s="1170"/>
      <c r="B77" s="442"/>
      <c r="C77" s="1185"/>
      <c r="D77" s="1186"/>
      <c r="E77" s="1188"/>
      <c r="F77" s="232"/>
      <c r="G77" s="26"/>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row>
    <row r="78" spans="1:41" s="142" customFormat="1" ht="18" customHeight="1" x14ac:dyDescent="0.25">
      <c r="A78" s="457" t="s">
        <v>491</v>
      </c>
      <c r="B78" s="454"/>
      <c r="C78" s="455"/>
      <c r="D78" s="456"/>
      <c r="E78" s="1187">
        <f>E76+E58</f>
        <v>73493.777399999992</v>
      </c>
      <c r="F78" s="458"/>
      <c r="G78" s="452"/>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row>
    <row r="79" spans="1:41" s="142" customFormat="1" ht="12" customHeight="1" x14ac:dyDescent="0.25">
      <c r="A79" s="140"/>
      <c r="B79" s="1189"/>
      <c r="C79" s="1190"/>
      <c r="D79" s="1191"/>
      <c r="E79" s="1192"/>
      <c r="F79" s="1175"/>
      <c r="G79" s="26"/>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row>
    <row r="80" spans="1:41" ht="18" x14ac:dyDescent="0.25">
      <c r="A80" s="461" t="s">
        <v>428</v>
      </c>
      <c r="B80" s="365"/>
      <c r="C80" s="365"/>
      <c r="D80" s="1393"/>
      <c r="E80" s="1393"/>
      <c r="F80" s="1393"/>
      <c r="G80" s="1393"/>
      <c r="H80" s="482"/>
    </row>
    <row r="81" spans="1:8" ht="12.75" customHeight="1" x14ac:dyDescent="0.2">
      <c r="D81" s="123" t="s">
        <v>18</v>
      </c>
      <c r="E81" s="23" t="s">
        <v>19</v>
      </c>
      <c r="F81" s="123" t="s">
        <v>20</v>
      </c>
      <c r="G81" s="124"/>
      <c r="H81" s="482"/>
    </row>
    <row r="82" spans="1:8" ht="12.75" customHeight="1" x14ac:dyDescent="0.2">
      <c r="A82" s="242" t="s">
        <v>197</v>
      </c>
      <c r="B82" t="s">
        <v>430</v>
      </c>
      <c r="D82" s="690"/>
      <c r="E82" s="61"/>
      <c r="F82" s="1199">
        <f>1940.3*1.081</f>
        <v>2097.4643000000001</v>
      </c>
      <c r="G82" s="63">
        <f>F82/$F$96</f>
        <v>0.1205699999357045</v>
      </c>
      <c r="H82" s="482"/>
    </row>
    <row r="83" spans="1:8" ht="12.75" customHeight="1" thickBot="1" x14ac:dyDescent="0.25">
      <c r="B83" t="s">
        <v>429</v>
      </c>
      <c r="F83" s="675">
        <f>8322.75*1.081</f>
        <v>8996.8927499999991</v>
      </c>
      <c r="G83" s="63">
        <f>F83/$F$96</f>
        <v>0.51717464668601987</v>
      </c>
      <c r="H83" s="482"/>
    </row>
    <row r="84" spans="1:8" ht="12.75" customHeight="1" x14ac:dyDescent="0.2">
      <c r="F84" s="196">
        <f>SUM(F82:F83)</f>
        <v>11094.357049999999</v>
      </c>
      <c r="G84" s="309">
        <f>F84/$F$96</f>
        <v>0.63774464662172436</v>
      </c>
      <c r="H84" s="482"/>
    </row>
    <row r="85" spans="1:8" ht="12.75" customHeight="1" x14ac:dyDescent="0.2">
      <c r="F85" s="196"/>
      <c r="G85" s="309"/>
      <c r="H85" s="482"/>
    </row>
    <row r="86" spans="1:8" ht="12.75" customHeight="1" x14ac:dyDescent="0.2">
      <c r="A86" t="s">
        <v>119</v>
      </c>
      <c r="F86" s="479">
        <v>2561</v>
      </c>
      <c r="G86" s="309">
        <f>F86/$F$96</f>
        <v>0.14721574514299918</v>
      </c>
      <c r="H86" s="482"/>
    </row>
    <row r="87" spans="1:8" ht="12.75" customHeight="1" x14ac:dyDescent="0.2">
      <c r="F87" s="796"/>
      <c r="G87" s="309"/>
      <c r="H87" s="482"/>
    </row>
    <row r="88" spans="1:8" ht="12.75" customHeight="1" x14ac:dyDescent="0.2">
      <c r="A88" t="s">
        <v>198</v>
      </c>
      <c r="B88" t="s">
        <v>431</v>
      </c>
      <c r="D88" s="259">
        <v>10</v>
      </c>
      <c r="F88" s="241"/>
      <c r="G88" s="309"/>
      <c r="H88" s="482"/>
    </row>
    <row r="89" spans="1:8" ht="12.75" customHeight="1" x14ac:dyDescent="0.2">
      <c r="B89" t="s">
        <v>432</v>
      </c>
      <c r="D89" s="259">
        <v>60</v>
      </c>
      <c r="E89" s="61"/>
      <c r="F89" s="241"/>
      <c r="G89" s="309"/>
      <c r="H89" s="482"/>
    </row>
    <row r="90" spans="1:8" ht="12.75" customHeight="1" x14ac:dyDescent="0.2">
      <c r="B90" t="s">
        <v>433</v>
      </c>
      <c r="D90" s="259">
        <v>10</v>
      </c>
      <c r="E90" s="61"/>
      <c r="F90" s="241"/>
      <c r="G90" s="309"/>
      <c r="H90" s="482"/>
    </row>
    <row r="91" spans="1:8" ht="12.75" customHeight="1" x14ac:dyDescent="0.2">
      <c r="B91" t="s">
        <v>435</v>
      </c>
      <c r="D91" s="259">
        <v>18</v>
      </c>
      <c r="E91" s="61"/>
      <c r="F91" s="241"/>
      <c r="G91" s="309"/>
      <c r="H91" s="482"/>
    </row>
    <row r="92" spans="1:8" ht="12.75" customHeight="1" x14ac:dyDescent="0.2">
      <c r="B92" t="s">
        <v>522</v>
      </c>
      <c r="D92" s="259">
        <v>3</v>
      </c>
      <c r="E92" s="61"/>
      <c r="F92" s="241"/>
      <c r="G92" s="309"/>
      <c r="H92" s="482"/>
    </row>
    <row r="93" spans="1:8" ht="12.75" customHeight="1" x14ac:dyDescent="0.2">
      <c r="B93" t="s">
        <v>434</v>
      </c>
      <c r="D93" s="809">
        <v>3</v>
      </c>
      <c r="E93" s="61"/>
      <c r="F93" s="241"/>
      <c r="G93" s="309"/>
      <c r="H93" s="482"/>
    </row>
    <row r="94" spans="1:8" ht="12.75" customHeight="1" thickBot="1" x14ac:dyDescent="0.25">
      <c r="B94" t="s">
        <v>436</v>
      </c>
      <c r="D94" s="810">
        <f>0.1*SUM(D88:D93)</f>
        <v>10.4</v>
      </c>
      <c r="E94" s="61"/>
      <c r="F94" s="241"/>
      <c r="G94" s="309"/>
      <c r="H94" s="482"/>
    </row>
    <row r="95" spans="1:8" ht="12.75" customHeight="1" x14ac:dyDescent="0.2">
      <c r="D95" s="689">
        <f>SUM(D88:D94)</f>
        <v>114.4</v>
      </c>
      <c r="E95" s="61">
        <f>'Standard Vorgaben'!$C$31</f>
        <v>32.700000000000003</v>
      </c>
      <c r="F95" s="241">
        <f>D95*E95</f>
        <v>3740.8800000000006</v>
      </c>
      <c r="G95" s="1200">
        <f>F95/$F$96</f>
        <v>0.2150396082352764</v>
      </c>
      <c r="H95" s="482"/>
    </row>
    <row r="96" spans="1:8" ht="18" x14ac:dyDescent="0.25">
      <c r="A96" s="457" t="s">
        <v>199</v>
      </c>
      <c r="B96" s="432"/>
      <c r="C96" s="432"/>
      <c r="D96" s="432"/>
      <c r="E96" s="432"/>
      <c r="F96" s="457">
        <f>F84+F86+F95</f>
        <v>17396.23705</v>
      </c>
      <c r="G96" s="1213">
        <f>F96/$F$96</f>
        <v>1</v>
      </c>
      <c r="H96" s="482"/>
    </row>
    <row r="97" spans="1:41" x14ac:dyDescent="0.2">
      <c r="A97" s="169"/>
      <c r="B97" s="102"/>
      <c r="C97" s="102"/>
      <c r="D97" s="102"/>
      <c r="E97" s="102"/>
      <c r="F97" s="1174"/>
      <c r="G97" s="105"/>
      <c r="H97" s="482"/>
    </row>
    <row r="98" spans="1:41" s="142" customFormat="1" ht="12" customHeight="1" x14ac:dyDescent="0.25">
      <c r="A98" s="140"/>
      <c r="B98" s="1189"/>
      <c r="C98" s="1190"/>
      <c r="D98" s="1191"/>
      <c r="E98" s="1192"/>
      <c r="F98" s="1175"/>
      <c r="G98" s="26"/>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row>
    <row r="99" spans="1:41" s="20" customFormat="1" ht="20.25" x14ac:dyDescent="0.3">
      <c r="A99" s="444" t="s">
        <v>495</v>
      </c>
      <c r="B99" s="444"/>
      <c r="C99" s="444"/>
      <c r="D99" s="444"/>
      <c r="E99" s="444"/>
      <c r="F99" s="444"/>
      <c r="G99" s="444"/>
      <c r="H99" s="820"/>
      <c r="I99" s="820"/>
      <c r="J99" s="820"/>
      <c r="K99" s="820"/>
      <c r="L99" s="820"/>
      <c r="M99" s="820"/>
      <c r="N99" s="820"/>
      <c r="O99" s="820"/>
      <c r="P99" s="820"/>
      <c r="Q99" s="820"/>
      <c r="R99" s="820"/>
      <c r="S99" s="820"/>
      <c r="T99" s="820"/>
      <c r="U99" s="820"/>
      <c r="V99" s="820"/>
      <c r="W99" s="820"/>
      <c r="X99" s="820"/>
      <c r="Y99" s="820"/>
      <c r="Z99" s="820"/>
      <c r="AA99" s="820"/>
      <c r="AB99" s="820"/>
      <c r="AC99" s="820"/>
      <c r="AD99" s="820"/>
      <c r="AE99" s="820"/>
      <c r="AF99" s="820"/>
      <c r="AG99" s="820"/>
      <c r="AH99" s="820"/>
      <c r="AI99" s="820"/>
      <c r="AJ99" s="820"/>
      <c r="AK99" s="820"/>
      <c r="AL99" s="820"/>
      <c r="AM99" s="820"/>
      <c r="AN99" s="820"/>
      <c r="AO99" s="820"/>
    </row>
    <row r="100" spans="1:41" ht="14.25" x14ac:dyDescent="0.2">
      <c r="A100" s="380" t="s">
        <v>503</v>
      </c>
      <c r="B100" s="380"/>
      <c r="C100" s="1207"/>
      <c r="D100" s="1208"/>
      <c r="E100" s="1197">
        <f>E78</f>
        <v>73493.777399999992</v>
      </c>
      <c r="F100" s="688">
        <f>C74+C56</f>
        <v>259.01</v>
      </c>
      <c r="G100" s="5"/>
    </row>
    <row r="101" spans="1:41" ht="15" thickBot="1" x14ac:dyDescent="0.25">
      <c r="A101" s="497" t="s">
        <v>185</v>
      </c>
      <c r="B101" s="497"/>
      <c r="C101" s="1207"/>
      <c r="D101" s="1208"/>
      <c r="E101" s="1209">
        <f>F96</f>
        <v>17396.23705</v>
      </c>
      <c r="F101" s="688">
        <f>D95</f>
        <v>114.4</v>
      </c>
      <c r="G101" s="199"/>
    </row>
    <row r="102" spans="1:41" s="142" customFormat="1" ht="21" thickBot="1" x14ac:dyDescent="0.35">
      <c r="A102" s="1206" t="s">
        <v>494</v>
      </c>
      <c r="B102" s="454"/>
      <c r="C102" s="455"/>
      <c r="D102" s="456"/>
      <c r="E102" s="1196">
        <f>E100+E101</f>
        <v>90890.014449999988</v>
      </c>
      <c r="F102" s="1210">
        <f>F100+F101</f>
        <v>373.40999999999997</v>
      </c>
      <c r="G102" s="452"/>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row>
    <row r="103" spans="1:41" s="142" customFormat="1" ht="18" x14ac:dyDescent="0.25">
      <c r="A103" s="1211"/>
      <c r="B103" s="1189"/>
      <c r="C103" s="1190"/>
      <c r="D103" s="1191"/>
      <c r="E103" s="1192"/>
      <c r="F103" s="1212"/>
      <c r="G103" s="26"/>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row>
    <row r="104" spans="1:41" ht="20.25" x14ac:dyDescent="0.3">
      <c r="A104" s="444" t="s">
        <v>504</v>
      </c>
      <c r="B104" s="365"/>
      <c r="C104" s="365"/>
      <c r="D104" s="365"/>
      <c r="E104" s="365"/>
      <c r="F104" s="365"/>
      <c r="G104" s="365"/>
    </row>
    <row r="105" spans="1:41" x14ac:dyDescent="0.2">
      <c r="D105" s="1164"/>
      <c r="E105" s="1165"/>
      <c r="F105" s="123" t="s">
        <v>20</v>
      </c>
      <c r="G105" s="124"/>
    </row>
    <row r="106" spans="1:41" x14ac:dyDescent="0.2">
      <c r="A106" s="243" t="s">
        <v>197</v>
      </c>
      <c r="B106" s="20" t="s">
        <v>478</v>
      </c>
      <c r="C106" s="20"/>
      <c r="D106" s="45"/>
      <c r="E106" s="61"/>
      <c r="F106" s="1162">
        <f>38640.9*1.081</f>
        <v>41770.812899999997</v>
      </c>
      <c r="G106" s="63">
        <f t="shared" ref="G106:G111" si="1">F106/$F$123</f>
        <v>0.63858230973539376</v>
      </c>
      <c r="H106" s="482"/>
      <c r="J106" s="18" t="s">
        <v>437</v>
      </c>
    </row>
    <row r="107" spans="1:41" x14ac:dyDescent="0.2">
      <c r="A107" s="243"/>
      <c r="B107" s="20" t="s">
        <v>490</v>
      </c>
      <c r="C107" s="20"/>
      <c r="D107" s="45">
        <f>'Standard Vorgaben'!C195</f>
        <v>0</v>
      </c>
      <c r="E107" s="1162">
        <f>7558*1.081</f>
        <v>8170.1979999999994</v>
      </c>
      <c r="F107" s="170">
        <f>D107*E107</f>
        <v>0</v>
      </c>
      <c r="G107" s="63">
        <f t="shared" si="1"/>
        <v>0</v>
      </c>
      <c r="H107" s="482"/>
    </row>
    <row r="108" spans="1:41" x14ac:dyDescent="0.2">
      <c r="A108" s="243"/>
      <c r="B108" t="s">
        <v>479</v>
      </c>
      <c r="C108" t="s">
        <v>480</v>
      </c>
      <c r="D108" s="45"/>
      <c r="E108" s="61"/>
      <c r="F108" s="1162">
        <f>4709.6*1.081</f>
        <v>5091.0776000000005</v>
      </c>
      <c r="G108" s="63">
        <f t="shared" si="1"/>
        <v>7.7831190420766888E-2</v>
      </c>
      <c r="H108" s="482"/>
    </row>
    <row r="109" spans="1:41" x14ac:dyDescent="0.2">
      <c r="A109" s="243"/>
      <c r="C109" t="s">
        <v>481</v>
      </c>
      <c r="D109" s="45"/>
      <c r="E109" s="61"/>
      <c r="F109" s="1162">
        <f>3210*1.081</f>
        <v>3470.0099999999998</v>
      </c>
      <c r="G109" s="63">
        <f t="shared" si="1"/>
        <v>5.3048692298849509E-2</v>
      </c>
      <c r="H109" s="482"/>
    </row>
    <row r="110" spans="1:41" x14ac:dyDescent="0.2">
      <c r="A110" s="243"/>
      <c r="C110" t="s">
        <v>476</v>
      </c>
      <c r="D110" s="45"/>
      <c r="E110" s="61"/>
      <c r="F110" s="1163">
        <f>2011*1.081</f>
        <v>2173.8910000000001</v>
      </c>
      <c r="G110" s="63">
        <f t="shared" si="1"/>
        <v>3.3233931530525347E-2</v>
      </c>
      <c r="H110" s="482"/>
    </row>
    <row r="111" spans="1:41" x14ac:dyDescent="0.2">
      <c r="A111" s="243"/>
      <c r="B111" s="17"/>
      <c r="D111" s="12"/>
      <c r="E111" s="30"/>
      <c r="F111" s="796">
        <f>SUM(F106:F110)</f>
        <v>52505.791499999999</v>
      </c>
      <c r="G111" s="309">
        <f t="shared" si="1"/>
        <v>0.80269612398553558</v>
      </c>
      <c r="H111" s="482"/>
    </row>
    <row r="112" spans="1:41" x14ac:dyDescent="0.2">
      <c r="A112" s="243"/>
      <c r="B112" s="17"/>
      <c r="D112" s="12"/>
      <c r="E112" s="30"/>
      <c r="F112" s="796"/>
      <c r="G112" s="309"/>
      <c r="H112" s="482"/>
    </row>
    <row r="113" spans="1:41" x14ac:dyDescent="0.2">
      <c r="A113" t="s">
        <v>425</v>
      </c>
      <c r="D113" s="1164" t="s">
        <v>482</v>
      </c>
      <c r="E113" s="1165" t="s">
        <v>25</v>
      </c>
      <c r="F113" s="170"/>
      <c r="G113" s="63"/>
      <c r="H113" s="482"/>
    </row>
    <row r="114" spans="1:41" x14ac:dyDescent="0.2">
      <c r="A114" s="1219" t="s">
        <v>516</v>
      </c>
      <c r="B114" s="1" t="str">
        <f>'Standard Vorgaben'!$B$173</f>
        <v>Obstbautraktor 4-Rad (45-54 kW, 61-73 PS)</v>
      </c>
      <c r="D114" s="1222">
        <f>D121/3</f>
        <v>60</v>
      </c>
      <c r="E114" s="61">
        <f>'Standard Vorgaben'!D173</f>
        <v>41</v>
      </c>
      <c r="F114" s="1223">
        <f>D114*E114</f>
        <v>2460</v>
      </c>
      <c r="G114" s="1178">
        <f>F114/$F$123</f>
        <v>3.7607898264030881E-2</v>
      </c>
      <c r="H114" s="482"/>
    </row>
    <row r="115" spans="1:41" x14ac:dyDescent="0.2">
      <c r="A115" s="143"/>
      <c r="B115" s="1" t="str">
        <f>'Standard Vorgaben'!$B$168</f>
        <v>Hebebühne schwer, selbstfahrend, elektrisch</v>
      </c>
      <c r="D115" s="1222">
        <f>D114</f>
        <v>60</v>
      </c>
      <c r="E115" s="61">
        <f>'Standard Vorgaben'!$I$168</f>
        <v>17.5</v>
      </c>
      <c r="F115" s="1223">
        <f>D115*E115</f>
        <v>1050</v>
      </c>
      <c r="G115" s="1178">
        <f>F115/$F$123</f>
        <v>1.6052151698061963E-2</v>
      </c>
      <c r="H115" s="482"/>
    </row>
    <row r="116" spans="1:41" x14ac:dyDescent="0.2">
      <c r="A116" s="143" t="s">
        <v>505</v>
      </c>
      <c r="B116" s="1" t="str">
        <f>'Standard Vorgaben'!$B$173</f>
        <v>Obstbautraktor 4-Rad (45-54 kW, 61-73 PS)</v>
      </c>
      <c r="D116" s="1222">
        <f>D122/3</f>
        <v>0</v>
      </c>
      <c r="E116" s="61">
        <f>'Standard Vorgaben'!D173</f>
        <v>41</v>
      </c>
      <c r="F116" s="1223">
        <f>D116*E116</f>
        <v>0</v>
      </c>
      <c r="G116" s="1178">
        <f>F116/$F$123</f>
        <v>0</v>
      </c>
      <c r="H116" s="482"/>
    </row>
    <row r="117" spans="1:41" x14ac:dyDescent="0.2">
      <c r="B117" s="1" t="str">
        <f>'Standard Vorgaben'!$B$168</f>
        <v>Hebebühne schwer, selbstfahrend, elektrisch</v>
      </c>
      <c r="D117" s="1259">
        <f>D116</f>
        <v>0</v>
      </c>
      <c r="E117" s="61">
        <f>'Standard Vorgaben'!$I$168</f>
        <v>17.5</v>
      </c>
      <c r="F117" s="237">
        <f>D117*E117</f>
        <v>0</v>
      </c>
      <c r="G117" s="1178">
        <f>F117/$F$123</f>
        <v>0</v>
      </c>
      <c r="H117" s="482"/>
    </row>
    <row r="118" spans="1:41" x14ac:dyDescent="0.2">
      <c r="B118" s="1"/>
      <c r="D118" s="1143"/>
      <c r="E118" s="61"/>
      <c r="F118" s="1177">
        <f>SUM(F114:F117)</f>
        <v>3510</v>
      </c>
      <c r="G118" s="309">
        <f>F118/$F$123</f>
        <v>5.3660049962092844E-2</v>
      </c>
      <c r="H118" s="482"/>
      <c r="I118" s="724">
        <f>E71+F118</f>
        <v>7000</v>
      </c>
      <c r="J118" s="820" t="s">
        <v>518</v>
      </c>
    </row>
    <row r="119" spans="1:41" x14ac:dyDescent="0.2">
      <c r="B119" s="1"/>
      <c r="D119" s="1143"/>
      <c r="E119" s="61"/>
      <c r="F119" s="1177"/>
      <c r="G119" s="309"/>
      <c r="H119" s="482"/>
      <c r="I119" s="724"/>
      <c r="J119" s="820"/>
    </row>
    <row r="120" spans="1:41" x14ac:dyDescent="0.2">
      <c r="A120" t="s">
        <v>198</v>
      </c>
      <c r="B120" s="1"/>
      <c r="C120" s="20"/>
      <c r="D120" s="1164" t="s">
        <v>31</v>
      </c>
      <c r="E120" s="1165" t="s">
        <v>25</v>
      </c>
      <c r="F120" s="475"/>
      <c r="G120" s="309"/>
      <c r="H120" s="482"/>
      <c r="I120" s="1179">
        <f>E74+F121+F122</f>
        <v>10791</v>
      </c>
      <c r="J120" s="820" t="s">
        <v>519</v>
      </c>
    </row>
    <row r="121" spans="1:41" x14ac:dyDescent="0.2">
      <c r="A121" s="143" t="s">
        <v>516</v>
      </c>
      <c r="B121" t="s">
        <v>426</v>
      </c>
      <c r="C121" s="20"/>
      <c r="D121" s="1328">
        <v>180</v>
      </c>
      <c r="E121" s="61">
        <f>'Standard Vorgaben'!$C$31</f>
        <v>32.700000000000003</v>
      </c>
      <c r="F121" s="1177">
        <f>D121*E121</f>
        <v>5886.0000000000009</v>
      </c>
      <c r="G121" s="309">
        <f>F121/$F$123</f>
        <v>8.9983776090278786E-2</v>
      </c>
      <c r="H121" s="482"/>
      <c r="I121" s="724">
        <f>SUM(I118:I120)</f>
        <v>17791</v>
      </c>
      <c r="J121" s="820" t="s">
        <v>105</v>
      </c>
    </row>
    <row r="122" spans="1:41" x14ac:dyDescent="0.2">
      <c r="A122" s="143" t="s">
        <v>505</v>
      </c>
      <c r="B122" s="12">
        <f>'Standard Vorgaben'!C195</f>
        <v>0</v>
      </c>
      <c r="C122" s="1249">
        <v>175</v>
      </c>
      <c r="D122" s="1222">
        <f>C122*B122</f>
        <v>0</v>
      </c>
      <c r="E122" s="61">
        <f>'Standard Vorgaben'!$C$31</f>
        <v>32.700000000000003</v>
      </c>
      <c r="F122" s="1177">
        <f>D122*E122</f>
        <v>0</v>
      </c>
      <c r="G122" s="309">
        <f>F122/$F$123</f>
        <v>0</v>
      </c>
      <c r="H122" s="482"/>
      <c r="I122" s="724"/>
      <c r="J122" s="820"/>
    </row>
    <row r="123" spans="1:41" ht="18.95" customHeight="1" thickBot="1" x14ac:dyDescent="0.3">
      <c r="A123" s="457" t="s">
        <v>493</v>
      </c>
      <c r="B123" s="454"/>
      <c r="C123" s="454"/>
      <c r="D123" s="454"/>
      <c r="E123" s="454"/>
      <c r="F123" s="1194">
        <f>SUM(F114:F122)+F111</f>
        <v>65411.791499999999</v>
      </c>
      <c r="G123" s="1195">
        <f>F123/$F$123</f>
        <v>1</v>
      </c>
    </row>
    <row r="124" spans="1:41" ht="18.95" customHeight="1" thickTop="1" x14ac:dyDescent="0.25">
      <c r="A124" s="1170"/>
      <c r="B124" s="442"/>
      <c r="C124" s="442"/>
      <c r="D124" s="442"/>
      <c r="E124" s="442"/>
      <c r="F124" s="1171"/>
      <c r="G124" s="1172"/>
    </row>
    <row r="125" spans="1:41" ht="18" x14ac:dyDescent="0.25">
      <c r="A125" s="461" t="s">
        <v>483</v>
      </c>
      <c r="B125" s="1173"/>
      <c r="C125" s="1173"/>
      <c r="D125" s="1173"/>
      <c r="E125" s="1173"/>
      <c r="F125" s="1173"/>
      <c r="G125" s="1173"/>
    </row>
    <row r="126" spans="1:41" s="1" customFormat="1" ht="12.75" customHeight="1" x14ac:dyDescent="0.2">
      <c r="A126" s="3" t="s">
        <v>226</v>
      </c>
      <c r="C126" s="217"/>
      <c r="D126" s="123" t="s">
        <v>18</v>
      </c>
      <c r="E126" s="1228" t="s">
        <v>25</v>
      </c>
      <c r="F126" s="123" t="s">
        <v>20</v>
      </c>
      <c r="G126" s="1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41" s="97" customFormat="1" ht="12.75" customHeight="1" x14ac:dyDescent="0.2">
      <c r="F127" s="196"/>
      <c r="G127" s="257"/>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row>
    <row r="128" spans="1:41" s="1" customFormat="1" ht="12.75" customHeight="1" x14ac:dyDescent="0.2">
      <c r="A128" s="104" t="s">
        <v>198</v>
      </c>
      <c r="B128" s="84" t="s">
        <v>227</v>
      </c>
      <c r="C128" s="97"/>
      <c r="D128" s="245">
        <v>20</v>
      </c>
      <c r="E128" s="61">
        <f>'Standard Vorgaben'!$C$30</f>
        <v>22.62</v>
      </c>
      <c r="F128" s="248">
        <f>D128*E128</f>
        <v>452.40000000000003</v>
      </c>
      <c r="G128" s="232">
        <f>F128/$F$136</f>
        <v>0.16402397756937059</v>
      </c>
      <c r="H128" s="482"/>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41" s="1" customFormat="1" ht="12.75" customHeight="1" x14ac:dyDescent="0.2">
      <c r="A129" s="169"/>
      <c r="B129" s="84" t="s">
        <v>207</v>
      </c>
      <c r="C129" s="97"/>
      <c r="D129" s="797">
        <v>20</v>
      </c>
      <c r="E129" s="61">
        <f>'Standard Vorgaben'!$C$30</f>
        <v>22.62</v>
      </c>
      <c r="F129" s="248">
        <f>D129*E129</f>
        <v>452.40000000000003</v>
      </c>
      <c r="G129" s="232">
        <f>F129/$F$136</f>
        <v>0.16402397756937059</v>
      </c>
      <c r="H129" s="482"/>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41" s="1" customFormat="1" ht="12.75" customHeight="1" thickBot="1" x14ac:dyDescent="0.25">
      <c r="A130" s="169"/>
      <c r="B130" s="84" t="s">
        <v>427</v>
      </c>
      <c r="C130" s="97"/>
      <c r="D130" s="804"/>
      <c r="E130" s="61"/>
      <c r="F130" s="675">
        <v>450</v>
      </c>
      <c r="G130" s="232"/>
      <c r="H130" s="482"/>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41" s="1" customFormat="1" ht="12.75" customHeight="1" x14ac:dyDescent="0.2">
      <c r="A131" s="169"/>
      <c r="B131" s="97"/>
      <c r="C131" s="97"/>
      <c r="D131" s="244">
        <f>SUM(D128:D129)</f>
        <v>40</v>
      </c>
      <c r="E131" s="247"/>
      <c r="F131" s="196">
        <f>SUM(F128:F130)</f>
        <v>1354.8000000000002</v>
      </c>
      <c r="G131" s="313">
        <f>F131/$F$136</f>
        <v>0.4912017789809533</v>
      </c>
      <c r="H131"/>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41" s="1" customFormat="1" ht="12.75" customHeight="1" x14ac:dyDescent="0.2">
      <c r="A132" s="169"/>
      <c r="B132" s="97"/>
      <c r="C132" s="97"/>
      <c r="D132" s="244"/>
      <c r="E132" s="247"/>
      <c r="F132" s="196"/>
      <c r="G132" s="313"/>
      <c r="H132"/>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row r="133" spans="1:41" s="1" customFormat="1" ht="12.75" customHeight="1" x14ac:dyDescent="0.2">
      <c r="A133" s="62" t="s">
        <v>119</v>
      </c>
      <c r="B133" s="97" t="str">
        <f>'Standard Vorgaben'!B168</f>
        <v>Hebebühne schwer, selbstfahrend, elektrisch</v>
      </c>
      <c r="C133" s="97"/>
      <c r="D133" s="1246">
        <f>'Standard Vorgaben'!C168/3</f>
        <v>33.333333333333336</v>
      </c>
      <c r="E133" s="61">
        <f>'Standard Vorgaben'!$I$168</f>
        <v>17.5</v>
      </c>
      <c r="F133" s="248">
        <f>D133*E133</f>
        <v>583.33333333333337</v>
      </c>
      <c r="G133" s="232">
        <f>F133/$F$136</f>
        <v>0.21149569757323794</v>
      </c>
      <c r="H133" s="482"/>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row>
    <row r="134" spans="1:41" s="1" customFormat="1" ht="12.75" customHeight="1" x14ac:dyDescent="0.2">
      <c r="A134" s="169"/>
      <c r="B134" s="97" t="s">
        <v>224</v>
      </c>
      <c r="C134" s="97"/>
      <c r="D134" s="245">
        <v>20</v>
      </c>
      <c r="E134" s="61">
        <f>'Standard Vorgaben'!D155</f>
        <v>41</v>
      </c>
      <c r="F134" s="249">
        <f>D134*E134</f>
        <v>820</v>
      </c>
      <c r="G134" s="232">
        <f>F134/$F$136</f>
        <v>0.29730252344580871</v>
      </c>
      <c r="H134" s="482"/>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row r="135" spans="1:41" s="1" customFormat="1" ht="12.75" customHeight="1" x14ac:dyDescent="0.2">
      <c r="A135" s="169"/>
      <c r="B135" s="97"/>
      <c r="C135" s="97"/>
      <c r="D135" s="244"/>
      <c r="E135" s="256"/>
      <c r="F135" s="196">
        <f>SUM(F133:F134)</f>
        <v>1403.3333333333335</v>
      </c>
      <c r="G135" s="313">
        <f>F135/$F$136</f>
        <v>0.5087982210190467</v>
      </c>
      <c r="H135" s="482"/>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row>
    <row r="136" spans="1:41" ht="15" customHeight="1" thickBot="1" x14ac:dyDescent="0.25">
      <c r="A136" s="459" t="s">
        <v>225</v>
      </c>
      <c r="B136" s="432"/>
      <c r="C136" s="432"/>
      <c r="D136" s="432"/>
      <c r="E136" s="432"/>
      <c r="F136" s="460">
        <f>F131+F135</f>
        <v>2758.1333333333337</v>
      </c>
      <c r="G136" s="458">
        <f>F136/$F$136</f>
        <v>1</v>
      </c>
      <c r="H136" s="482"/>
    </row>
    <row r="137" spans="1:41" s="1" customFormat="1" ht="12.75" customHeight="1" thickTop="1" x14ac:dyDescent="0.2">
      <c r="A137" s="169"/>
      <c r="B137" s="102"/>
      <c r="C137" s="102"/>
      <c r="D137" s="102"/>
      <c r="E137" s="102"/>
      <c r="F137" s="1174"/>
      <c r="G137" s="1175"/>
      <c r="H137" s="1176"/>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row>
    <row r="138" spans="1:41" s="1" customFormat="1" ht="12.75" customHeight="1" x14ac:dyDescent="0.2">
      <c r="A138" s="3" t="s">
        <v>507</v>
      </c>
      <c r="B138" s="1167"/>
      <c r="C138" s="1168"/>
      <c r="D138" s="123" t="s">
        <v>18</v>
      </c>
      <c r="E138" s="123" t="s">
        <v>510</v>
      </c>
      <c r="F138" s="1228" t="s">
        <v>25</v>
      </c>
      <c r="G138" s="123" t="s">
        <v>20</v>
      </c>
      <c r="H138" s="1176"/>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row>
    <row r="139" spans="1:41" s="1" customFormat="1" ht="12.75" customHeight="1" x14ac:dyDescent="0.2">
      <c r="A139" t="s">
        <v>411</v>
      </c>
      <c r="B139" s="20" t="s">
        <v>508</v>
      </c>
      <c r="C139" s="12">
        <f>'Standard Vorgaben'!C195</f>
        <v>0</v>
      </c>
      <c r="D139" s="245">
        <v>25</v>
      </c>
      <c r="E139" s="244">
        <f>D139*C139</f>
        <v>0</v>
      </c>
      <c r="F139" s="61">
        <f>'Standard Vorgaben'!$C$30</f>
        <v>22.62</v>
      </c>
      <c r="G139" s="475">
        <f>C139*E139*F139</f>
        <v>0</v>
      </c>
      <c r="H139" s="1176"/>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row>
    <row r="140" spans="1:41" ht="15" customHeight="1" thickBot="1" x14ac:dyDescent="0.25">
      <c r="A140" s="459" t="s">
        <v>523</v>
      </c>
      <c r="B140" s="432"/>
      <c r="C140" s="432"/>
      <c r="D140" s="432"/>
      <c r="E140" s="432"/>
      <c r="F140" s="432"/>
      <c r="G140" s="460">
        <f>G139</f>
        <v>0</v>
      </c>
      <c r="H140" s="482"/>
    </row>
    <row r="141" spans="1:41" s="1" customFormat="1" ht="12.75" customHeight="1" thickTop="1" x14ac:dyDescent="0.2">
      <c r="A141" s="169"/>
      <c r="B141" s="102"/>
      <c r="C141" s="102"/>
      <c r="D141" s="102"/>
      <c r="E141" s="102"/>
      <c r="F141" s="1174"/>
      <c r="G141" s="1175"/>
      <c r="H141" s="1176"/>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row>
    <row r="142" spans="1:41" ht="12.75" customHeight="1" x14ac:dyDescent="0.2">
      <c r="A142" s="3" t="s">
        <v>484</v>
      </c>
      <c r="B142" s="777"/>
      <c r="C142" s="778"/>
      <c r="D142" s="123" t="s">
        <v>18</v>
      </c>
      <c r="E142" s="1228" t="s">
        <v>25</v>
      </c>
      <c r="F142" s="123" t="s">
        <v>20</v>
      </c>
      <c r="G142" s="798"/>
      <c r="H142" s="482"/>
    </row>
    <row r="143" spans="1:41" ht="12.75" customHeight="1" x14ac:dyDescent="0.2">
      <c r="A143" t="s">
        <v>411</v>
      </c>
      <c r="B143" s="84" t="s">
        <v>424</v>
      </c>
      <c r="D143" s="245">
        <v>20</v>
      </c>
      <c r="E143" s="61">
        <f>'Standard Vorgaben'!$C$30</f>
        <v>22.62</v>
      </c>
      <c r="F143" s="475">
        <f>D143*E143</f>
        <v>452.40000000000003</v>
      </c>
      <c r="G143" s="93"/>
      <c r="H143" s="482"/>
    </row>
    <row r="144" spans="1:41" ht="15" customHeight="1" thickBot="1" x14ac:dyDescent="0.25">
      <c r="A144" s="459" t="s">
        <v>485</v>
      </c>
      <c r="B144" s="432"/>
      <c r="C144" s="432"/>
      <c r="D144" s="432"/>
      <c r="E144" s="432"/>
      <c r="F144" s="460">
        <f>F143</f>
        <v>452.40000000000003</v>
      </c>
      <c r="G144" s="458"/>
      <c r="H144" s="482"/>
    </row>
    <row r="145" spans="1:41" ht="12.75" customHeight="1" thickTop="1" x14ac:dyDescent="0.2">
      <c r="A145" s="169"/>
      <c r="B145" s="102"/>
      <c r="C145" s="102"/>
      <c r="D145" s="102"/>
      <c r="E145" s="102"/>
      <c r="F145" s="1174"/>
      <c r="G145" s="1175"/>
      <c r="H145" s="482"/>
    </row>
    <row r="146" spans="1:41" ht="12.75" customHeight="1" x14ac:dyDescent="0.2">
      <c r="A146" s="3" t="s">
        <v>496</v>
      </c>
      <c r="B146" s="102"/>
      <c r="C146" s="102"/>
      <c r="D146" s="123" t="s">
        <v>18</v>
      </c>
      <c r="E146" s="1228" t="s">
        <v>25</v>
      </c>
      <c r="F146" s="123" t="s">
        <v>20</v>
      </c>
      <c r="G146" s="124"/>
      <c r="H146" s="482"/>
    </row>
    <row r="147" spans="1:41" ht="12.75" customHeight="1" x14ac:dyDescent="0.2">
      <c r="A147" s="104" t="s">
        <v>198</v>
      </c>
      <c r="B147" s="84" t="s">
        <v>205</v>
      </c>
      <c r="C147" s="97"/>
      <c r="D147" s="245">
        <v>10</v>
      </c>
      <c r="E147" s="61">
        <f>'Standard Vorgaben'!$C$31</f>
        <v>32.700000000000003</v>
      </c>
      <c r="F147" s="248">
        <f>D147*E147</f>
        <v>327</v>
      </c>
      <c r="H147" s="482"/>
    </row>
    <row r="148" spans="1:41" ht="12.75" customHeight="1" x14ac:dyDescent="0.2">
      <c r="A148" s="169"/>
      <c r="B148" s="84" t="s">
        <v>206</v>
      </c>
      <c r="C148" s="97"/>
      <c r="D148" s="246">
        <v>4</v>
      </c>
      <c r="E148" s="61">
        <f>'Standard Vorgaben'!$C$31</f>
        <v>32.700000000000003</v>
      </c>
      <c r="F148" s="249">
        <f>D148*E148</f>
        <v>130.80000000000001</v>
      </c>
      <c r="H148" s="482"/>
    </row>
    <row r="149" spans="1:41" ht="12.75" customHeight="1" x14ac:dyDescent="0.2">
      <c r="A149" s="169"/>
      <c r="B149" s="97"/>
      <c r="C149" s="97"/>
      <c r="D149" s="244">
        <f>SUM(D147:D148)</f>
        <v>14</v>
      </c>
      <c r="E149" s="247"/>
      <c r="F149" s="1214">
        <f>SUM(F147:F148)</f>
        <v>457.8</v>
      </c>
      <c r="H149" s="482"/>
    </row>
    <row r="150" spans="1:41" ht="15" customHeight="1" thickBot="1" x14ac:dyDescent="0.25">
      <c r="A150" s="459" t="s">
        <v>497</v>
      </c>
      <c r="B150" s="432"/>
      <c r="C150" s="432"/>
      <c r="D150" s="432"/>
      <c r="E150" s="432"/>
      <c r="F150" s="460">
        <f>F149</f>
        <v>457.8</v>
      </c>
      <c r="G150" s="458"/>
      <c r="H150" s="482"/>
    </row>
    <row r="151" spans="1:41" ht="13.5" thickTop="1" x14ac:dyDescent="0.2">
      <c r="A151" s="169"/>
      <c r="B151" s="102"/>
      <c r="C151" s="102"/>
      <c r="D151" s="102"/>
      <c r="E151" s="102"/>
      <c r="F151" s="1174"/>
      <c r="G151" s="1175"/>
      <c r="H151" s="482"/>
    </row>
    <row r="152" spans="1:41" s="1" customFormat="1" ht="18.75" customHeight="1" x14ac:dyDescent="0.25">
      <c r="A152" s="446" t="s">
        <v>517</v>
      </c>
      <c r="B152" s="367"/>
      <c r="C152" s="367"/>
      <c r="D152" s="799"/>
      <c r="E152" s="800"/>
      <c r="F152" s="802">
        <f>F144+F136+G140+F150</f>
        <v>3668.3333333333339</v>
      </c>
      <c r="G152" s="801"/>
      <c r="H152" s="482"/>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row>
    <row r="153" spans="1:41" s="1" customFormat="1" ht="18.75" customHeight="1" x14ac:dyDescent="0.25">
      <c r="A153" s="462"/>
      <c r="D153" s="244"/>
      <c r="E153" s="712"/>
      <c r="F153" s="803"/>
      <c r="G153" s="313"/>
      <c r="H153" s="1176"/>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row>
    <row r="154" spans="1:41" s="1" customFormat="1" ht="18.75" customHeight="1" x14ac:dyDescent="0.25">
      <c r="A154" s="461" t="s">
        <v>499</v>
      </c>
      <c r="B154" s="461"/>
      <c r="C154" s="461"/>
      <c r="D154" s="461"/>
      <c r="E154" s="461"/>
      <c r="F154" s="461"/>
      <c r="G154" s="461"/>
      <c r="H154" s="482"/>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row>
    <row r="155" spans="1:41" s="1" customFormat="1" ht="12.75" customHeight="1" x14ac:dyDescent="0.2">
      <c r="A155"/>
      <c r="B155"/>
      <c r="C155"/>
      <c r="D155" s="1164"/>
      <c r="E155" s="1165"/>
      <c r="F155" s="123" t="s">
        <v>20</v>
      </c>
      <c r="G155" s="124"/>
      <c r="H155" s="482"/>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row>
    <row r="156" spans="1:41" s="1" customFormat="1" ht="12.75" customHeight="1" x14ac:dyDescent="0.2">
      <c r="A156" s="243" t="s">
        <v>197</v>
      </c>
      <c r="B156" s="20" t="s">
        <v>478</v>
      </c>
      <c r="C156" s="20"/>
      <c r="D156" s="45"/>
      <c r="E156" s="61"/>
      <c r="F156" s="1162">
        <f>38640.9*1.081</f>
        <v>41770.812899999997</v>
      </c>
      <c r="G156" s="63">
        <f>F156/$F$165</f>
        <v>0.89623834587496543</v>
      </c>
      <c r="H156" s="482"/>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row>
    <row r="157" spans="1:41" s="1" customFormat="1" ht="12.75" customHeight="1" x14ac:dyDescent="0.2">
      <c r="A157" s="243"/>
      <c r="B157" s="17"/>
      <c r="C157"/>
      <c r="D157" s="12"/>
      <c r="E157" s="30"/>
      <c r="F157" s="796"/>
      <c r="G157" s="309"/>
      <c r="H157" s="482"/>
      <c r="I157" s="1148"/>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row>
    <row r="158" spans="1:41" s="1" customFormat="1" ht="12.75" customHeight="1" x14ac:dyDescent="0.2">
      <c r="A158" s="243"/>
      <c r="B158"/>
      <c r="C158"/>
      <c r="D158" s="1164" t="s">
        <v>482</v>
      </c>
      <c r="E158" s="1165" t="s">
        <v>25</v>
      </c>
      <c r="F158" s="170"/>
      <c r="G158" s="63"/>
      <c r="H158" s="482"/>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row>
    <row r="159" spans="1:41" s="1" customFormat="1" ht="12.75" customHeight="1" x14ac:dyDescent="0.2">
      <c r="A159" t="s">
        <v>425</v>
      </c>
      <c r="B159" s="1" t="str">
        <f>'Standard Vorgaben'!$B$173</f>
        <v>Obstbautraktor 4-Rad (45-54 kW, 61-73 PS)</v>
      </c>
      <c r="C159"/>
      <c r="D159" s="1338">
        <v>10</v>
      </c>
      <c r="E159" s="61">
        <f>'Standard Vorgaben'!D173</f>
        <v>41</v>
      </c>
      <c r="F159" s="475">
        <f>D159*E159</f>
        <v>410</v>
      </c>
      <c r="G159" s="63">
        <f>F159/$F$165</f>
        <v>8.7969971445955707E-3</v>
      </c>
      <c r="H159" s="482"/>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row>
    <row r="160" spans="1:41" s="1" customFormat="1" ht="12.75" customHeight="1" x14ac:dyDescent="0.2">
      <c r="A160"/>
      <c r="B160" s="1" t="str">
        <f>'Standard Vorgaben'!$B$168</f>
        <v>Hebebühne schwer, selbstfahrend, elektrisch</v>
      </c>
      <c r="C160"/>
      <c r="D160" s="1338">
        <v>10</v>
      </c>
      <c r="E160" s="61">
        <f>'Standard Vorgaben'!$I$168</f>
        <v>17.5</v>
      </c>
      <c r="F160" s="237">
        <f>D160*E160</f>
        <v>175</v>
      </c>
      <c r="G160" s="63">
        <f>F160/$F$165</f>
        <v>3.7548158544005485E-3</v>
      </c>
      <c r="H160" s="482"/>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row>
    <row r="161" spans="1:41" s="1" customFormat="1" ht="12.75" customHeight="1" x14ac:dyDescent="0.2">
      <c r="A161"/>
      <c r="C161"/>
      <c r="D161" s="1222"/>
      <c r="E161" s="61"/>
      <c r="F161" s="1177">
        <f>SUM(F159:F160)</f>
        <v>585</v>
      </c>
      <c r="G161" s="1200">
        <f>F161/$F$165</f>
        <v>1.2551812998996119E-2</v>
      </c>
      <c r="H161" s="482"/>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row>
    <row r="162" spans="1:41" s="1" customFormat="1" ht="12.75" customHeight="1" x14ac:dyDescent="0.2">
      <c r="A162"/>
      <c r="C162"/>
      <c r="D162" s="1222"/>
      <c r="E162" s="61"/>
      <c r="F162" s="1177"/>
      <c r="G162" s="309"/>
      <c r="H162" s="482"/>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row>
    <row r="163" spans="1:41" s="1" customFormat="1" ht="12.75" customHeight="1" x14ac:dyDescent="0.2">
      <c r="A163"/>
      <c r="C163"/>
      <c r="D163" s="1164" t="s">
        <v>31</v>
      </c>
      <c r="E163" s="1165" t="s">
        <v>25</v>
      </c>
      <c r="F163" s="475"/>
      <c r="G163" s="309"/>
      <c r="H163" s="482"/>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row>
    <row r="164" spans="1:41" s="1" customFormat="1" ht="12.75" customHeight="1" x14ac:dyDescent="0.2">
      <c r="A164" t="s">
        <v>198</v>
      </c>
      <c r="B164"/>
      <c r="C164"/>
      <c r="D164" s="1328">
        <v>130</v>
      </c>
      <c r="E164" s="61">
        <f>'Standard Vorgaben'!$C$31</f>
        <v>32.700000000000003</v>
      </c>
      <c r="F164" s="1177">
        <f>D164*E164</f>
        <v>4251</v>
      </c>
      <c r="G164" s="1200">
        <f>F164/$F$165</f>
        <v>9.1209841126038471E-2</v>
      </c>
      <c r="H164" s="482"/>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row>
    <row r="165" spans="1:41" s="1" customFormat="1" ht="18.75" thickBot="1" x14ac:dyDescent="0.3">
      <c r="A165" s="457" t="s">
        <v>498</v>
      </c>
      <c r="B165" s="454"/>
      <c r="C165" s="454"/>
      <c r="D165" s="454"/>
      <c r="E165" s="454"/>
      <c r="F165" s="1194">
        <f>F156+F161+F164</f>
        <v>46606.812899999997</v>
      </c>
      <c r="G165" s="1195">
        <f>F165/$F$165</f>
        <v>1</v>
      </c>
      <c r="H165" s="482"/>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row>
    <row r="166" spans="1:41" s="1" customFormat="1" ht="21.75" customHeight="1" thickTop="1" x14ac:dyDescent="0.25">
      <c r="A166" s="2"/>
      <c r="B166" s="4"/>
      <c r="C166" s="4"/>
      <c r="D166" s="1202"/>
      <c r="E166" s="1203"/>
      <c r="F166" s="1204"/>
      <c r="G166" s="125"/>
      <c r="H166" s="482"/>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row>
    <row r="167" spans="1:41" s="1" customFormat="1" ht="18.75" customHeight="1" x14ac:dyDescent="0.25">
      <c r="A167" s="461" t="s">
        <v>520</v>
      </c>
      <c r="B167" s="461"/>
      <c r="C167" s="461"/>
      <c r="D167" s="461"/>
      <c r="E167" s="461"/>
      <c r="F167" s="461"/>
      <c r="G167" s="461"/>
      <c r="H167" s="482"/>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row>
    <row r="168" spans="1:41" s="1" customFormat="1" ht="12.75" customHeight="1" x14ac:dyDescent="0.2">
      <c r="A168"/>
      <c r="B168"/>
      <c r="C168"/>
      <c r="D168" s="1164"/>
      <c r="E168" s="1165"/>
      <c r="F168" s="123" t="s">
        <v>20</v>
      </c>
      <c r="G168" s="124"/>
      <c r="H168" s="482"/>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row>
    <row r="169" spans="1:41" s="1" customFormat="1" ht="12.75" customHeight="1" x14ac:dyDescent="0.2">
      <c r="A169" s="243" t="s">
        <v>197</v>
      </c>
      <c r="B169" s="20" t="s">
        <v>521</v>
      </c>
      <c r="C169" s="20"/>
      <c r="D169" s="45"/>
      <c r="E169" s="61"/>
      <c r="F169" s="1162">
        <f>3210*1.081</f>
        <v>3470.0099999999998</v>
      </c>
      <c r="G169" s="63">
        <f>F169/$F$183</f>
        <v>0.64289088857639909</v>
      </c>
      <c r="H169" s="482"/>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row>
    <row r="170" spans="1:41" s="1" customFormat="1" ht="12.75" customHeight="1" x14ac:dyDescent="0.2">
      <c r="A170" s="243"/>
      <c r="B170" s="20" t="s">
        <v>505</v>
      </c>
      <c r="C170" s="20"/>
      <c r="D170" s="45">
        <f>'Standard Vorgaben'!C195</f>
        <v>0</v>
      </c>
      <c r="E170" s="1162">
        <f>7558*1.081</f>
        <v>8170.1979999999994</v>
      </c>
      <c r="F170" s="170">
        <f>E170*D170</f>
        <v>0</v>
      </c>
      <c r="G170" s="63">
        <f>F170/$F$183</f>
        <v>0</v>
      </c>
      <c r="H170" s="482"/>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row>
    <row r="171" spans="1:41" s="1" customFormat="1" ht="12.75" customHeight="1" x14ac:dyDescent="0.2">
      <c r="A171" s="243"/>
      <c r="B171" s="17"/>
      <c r="C171"/>
      <c r="D171" s="12"/>
      <c r="E171" s="30"/>
      <c r="F171" s="796"/>
      <c r="G171" s="309"/>
      <c r="H171" s="482"/>
      <c r="I171" s="1148"/>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row>
    <row r="172" spans="1:41" s="1" customFormat="1" ht="12.75" customHeight="1" x14ac:dyDescent="0.2">
      <c r="A172" t="s">
        <v>425</v>
      </c>
      <c r="B172"/>
      <c r="C172"/>
      <c r="D172" s="1164" t="s">
        <v>482</v>
      </c>
      <c r="E172" s="1165" t="s">
        <v>25</v>
      </c>
      <c r="F172" s="170"/>
      <c r="G172" s="63"/>
      <c r="H172" s="482"/>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row>
    <row r="173" spans="1:41" s="1" customFormat="1" ht="12.75" customHeight="1" x14ac:dyDescent="0.2">
      <c r="A173" s="45" t="s">
        <v>479</v>
      </c>
      <c r="B173" s="1" t="str">
        <f>'Standard Vorgaben'!$B$173</f>
        <v>Obstbautraktor 4-Rad (45-54 kW, 61-73 PS)</v>
      </c>
      <c r="C173" s="20"/>
      <c r="D173" s="1338">
        <v>5</v>
      </c>
      <c r="E173" s="61">
        <f>'Standard Vorgaben'!D173</f>
        <v>41</v>
      </c>
      <c r="F173" s="475">
        <f>D173*E173</f>
        <v>205</v>
      </c>
      <c r="G173" s="63">
        <f>F173/$F$183</f>
        <v>3.798047618253602E-2</v>
      </c>
      <c r="H173" s="482"/>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row>
    <row r="174" spans="1:41" s="1" customFormat="1" ht="12.75" customHeight="1" x14ac:dyDescent="0.2">
      <c r="A174"/>
      <c r="B174" s="1" t="str">
        <f>'Standard Vorgaben'!$B$168</f>
        <v>Hebebühne schwer, selbstfahrend, elektrisch</v>
      </c>
      <c r="C174" s="20"/>
      <c r="D174" s="1338">
        <v>5</v>
      </c>
      <c r="E174" s="61">
        <f>'Standard Vorgaben'!$I$168</f>
        <v>17.5</v>
      </c>
      <c r="F174" s="1223">
        <f>D174*E174</f>
        <v>87.5</v>
      </c>
      <c r="G174" s="63">
        <f>F174/$F$183</f>
        <v>1.6211178858399521E-2</v>
      </c>
      <c r="H174" s="482"/>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row>
    <row r="175" spans="1:41" s="1" customFormat="1" ht="12.75" customHeight="1" x14ac:dyDescent="0.2">
      <c r="A175" s="12" t="s">
        <v>505</v>
      </c>
      <c r="C175" s="20"/>
      <c r="D175" s="1222"/>
      <c r="E175" s="61"/>
      <c r="F175" s="1223"/>
      <c r="G175" s="63"/>
      <c r="H175" s="482"/>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row>
    <row r="176" spans="1:41" s="1" customFormat="1" ht="12.75" customHeight="1" x14ac:dyDescent="0.2">
      <c r="A176" s="1" t="str">
        <f>'Standard Vorgaben'!$B$173</f>
        <v>Obstbautraktor 4-Rad (45-54 kW, 61-73 PS)</v>
      </c>
      <c r="B176" s="45">
        <f>'Standard Vorgaben'!C195</f>
        <v>0</v>
      </c>
      <c r="C176" s="1338">
        <v>10</v>
      </c>
      <c r="D176" s="817">
        <f>C176*B176</f>
        <v>0</v>
      </c>
      <c r="E176" s="61">
        <f>'Standard Vorgaben'!D173</f>
        <v>41</v>
      </c>
      <c r="F176" s="475">
        <f>D176*E176</f>
        <v>0</v>
      </c>
      <c r="G176" s="63">
        <f>F176/$F$183</f>
        <v>0</v>
      </c>
      <c r="H176" s="482"/>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row>
    <row r="177" spans="1:41" s="1" customFormat="1" ht="12.75" customHeight="1" x14ac:dyDescent="0.2">
      <c r="A177" s="1" t="str">
        <f>'Standard Vorgaben'!$B$168</f>
        <v>Hebebühne schwer, selbstfahrend, elektrisch</v>
      </c>
      <c r="B177" s="45">
        <f>'Standard Vorgaben'!C195</f>
        <v>0</v>
      </c>
      <c r="C177" s="1338">
        <v>10</v>
      </c>
      <c r="D177" s="817">
        <f>C177*B177</f>
        <v>0</v>
      </c>
      <c r="E177" s="61">
        <f>'Standard Vorgaben'!$I$168</f>
        <v>17.5</v>
      </c>
      <c r="F177" s="237">
        <f>D177*E177</f>
        <v>0</v>
      </c>
      <c r="G177" s="63">
        <f>F177/$F$183</f>
        <v>0</v>
      </c>
      <c r="H177" s="482"/>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row>
    <row r="178" spans="1:41" s="1" customFormat="1" ht="12.75" customHeight="1" x14ac:dyDescent="0.2">
      <c r="A178"/>
      <c r="C178" s="20"/>
      <c r="D178" s="1222"/>
      <c r="E178" s="61"/>
      <c r="F178" s="1177">
        <f>SUM(F173:F177)</f>
        <v>292.5</v>
      </c>
      <c r="G178" s="1200">
        <f>F178/$F$183</f>
        <v>5.4191655040935538E-2</v>
      </c>
      <c r="H178" s="482"/>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row>
    <row r="179" spans="1:41" s="1" customFormat="1" ht="12.75" customHeight="1" x14ac:dyDescent="0.2">
      <c r="A179"/>
      <c r="C179" s="20"/>
      <c r="D179" s="1222"/>
      <c r="E179" s="61"/>
      <c r="F179" s="1177"/>
      <c r="G179" s="309"/>
      <c r="H179" s="482"/>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row>
    <row r="180" spans="1:41" s="1" customFormat="1" ht="12.75" customHeight="1" x14ac:dyDescent="0.2">
      <c r="A180" t="s">
        <v>198</v>
      </c>
      <c r="C180" s="20"/>
      <c r="D180" s="1164" t="s">
        <v>31</v>
      </c>
      <c r="E180" s="1165" t="s">
        <v>25</v>
      </c>
      <c r="F180" s="475"/>
      <c r="G180" s="309"/>
      <c r="H180" s="482"/>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row>
    <row r="181" spans="1:41" s="1" customFormat="1" ht="12.75" customHeight="1" x14ac:dyDescent="0.2">
      <c r="A181" t="s">
        <v>479</v>
      </c>
      <c r="C181" s="20"/>
      <c r="D181" s="1328">
        <v>50</v>
      </c>
      <c r="E181" s="61">
        <f>'Standard Vorgaben'!$C$31</f>
        <v>32.700000000000003</v>
      </c>
      <c r="F181" s="1177">
        <f>D181*E181</f>
        <v>1635.0000000000002</v>
      </c>
      <c r="G181" s="1200">
        <f>F181/$F$183</f>
        <v>0.30291745638266537</v>
      </c>
      <c r="H181" s="482"/>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row>
    <row r="182" spans="1:41" s="1" customFormat="1" ht="12.75" customHeight="1" x14ac:dyDescent="0.2">
      <c r="A182" t="s">
        <v>505</v>
      </c>
      <c r="B182" s="45">
        <f>'Standard Vorgaben'!C195</f>
        <v>0</v>
      </c>
      <c r="C182" s="1328">
        <v>175</v>
      </c>
      <c r="D182" s="1222">
        <f>B182*C182</f>
        <v>0</v>
      </c>
      <c r="E182" s="61">
        <f>'Standard Vorgaben'!$C$31</f>
        <v>32.700000000000003</v>
      </c>
      <c r="F182" s="1177">
        <f>D182*E182</f>
        <v>0</v>
      </c>
      <c r="G182" s="1200">
        <f>F182/$F$183</f>
        <v>0</v>
      </c>
      <c r="H182" s="482"/>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row>
    <row r="183" spans="1:41" s="1" customFormat="1" ht="18.75" thickBot="1" x14ac:dyDescent="0.3">
      <c r="A183" s="457" t="s">
        <v>498</v>
      </c>
      <c r="B183" s="454"/>
      <c r="C183" s="454"/>
      <c r="D183" s="454"/>
      <c r="E183" s="454"/>
      <c r="F183" s="1194">
        <f>F169+F170+F178+F181+F182</f>
        <v>5397.51</v>
      </c>
      <c r="G183" s="1195">
        <f>F183/$F$183</f>
        <v>1</v>
      </c>
      <c r="H183" s="482"/>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row>
    <row r="184" spans="1:41" ht="13.5" thickTop="1" x14ac:dyDescent="0.2"/>
    <row r="195" spans="8:41" s="1" customFormat="1" x14ac:dyDescent="0.2">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row>
    <row r="196" spans="8:41" ht="12.75" customHeight="1" x14ac:dyDescent="0.2"/>
  </sheetData>
  <mergeCells count="3">
    <mergeCell ref="B3:G3"/>
    <mergeCell ref="F60:G60"/>
    <mergeCell ref="D80:G80"/>
  </mergeCells>
  <phoneticPr fontId="25" type="noConversion"/>
  <dataValidations disablePrompts="1" count="2">
    <dataValidation type="custom" showErrorMessage="1" errorTitle="Falsche Bruttofläche" error="Die Bruttofläche entspricht nicht 10000 m2" sqref="E11" xr:uid="{00000000-0002-0000-0700-000000000000}">
      <formula1>E10*E11=10000</formula1>
    </dataValidation>
    <dataValidation type="whole" operator="notEqual" showErrorMessage="1" errorTitle="Falsche Länge" error="Es muss eine Länge eingetragen sein" sqref="E10" xr:uid="{00000000-0002-0000-0700-000001000000}">
      <formula1>0</formula1>
    </dataValidation>
  </dataValidations>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oddFooter>&amp;L&amp;6&amp;F&amp;C&amp;6&amp;A  &amp;R&amp;6Kontakt: matthias.zuercher@faw.admin.ch</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tandard1_16Standjahre">
    <tabColor rgb="FF00359E"/>
  </sheetPr>
  <dimension ref="A1:DI166"/>
  <sheetViews>
    <sheetView zoomScale="90" zoomScaleNormal="90" workbookViewId="0">
      <selection activeCell="B7" sqref="B7"/>
    </sheetView>
  </sheetViews>
  <sheetFormatPr baseColWidth="10" defaultColWidth="11.42578125" defaultRowHeight="12.75" x14ac:dyDescent="0.2"/>
  <cols>
    <col min="1" max="1" width="37.5703125" style="17" customWidth="1"/>
    <col min="2" max="2" width="31.7109375" style="20" customWidth="1"/>
    <col min="3" max="3" width="15.28515625" style="12" customWidth="1"/>
    <col min="4" max="4" width="12.85546875" style="12" customWidth="1"/>
    <col min="5" max="5" width="13.28515625" style="30" customWidth="1"/>
    <col min="6" max="6" width="17.5703125" style="31" customWidth="1"/>
    <col min="7" max="7" width="6.140625" style="12" bestFit="1" customWidth="1"/>
    <col min="8" max="8" width="37.5703125" style="12" customWidth="1"/>
    <col min="9" max="9" width="24.42578125" style="12" customWidth="1"/>
    <col min="10" max="10" width="15.28515625" customWidth="1"/>
    <col min="11" max="11" width="12.85546875" customWidth="1"/>
    <col min="12" max="12" width="13.28515625" customWidth="1"/>
    <col min="13" max="13" width="17.42578125" customWidth="1"/>
    <col min="14" max="14" width="6.140625" bestFit="1" customWidth="1"/>
    <col min="15" max="15" width="37.42578125" customWidth="1"/>
    <col min="16" max="16" width="24.42578125" customWidth="1"/>
    <col min="17" max="17" width="15.28515625" customWidth="1"/>
    <col min="18" max="18" width="13" style="32" customWidth="1"/>
    <col min="19" max="19" width="13.28515625" customWidth="1"/>
    <col min="20" max="20" width="17.42578125" customWidth="1"/>
    <col min="21" max="21" width="6.140625" bestFit="1" customWidth="1"/>
    <col min="22" max="22" width="37.5703125" customWidth="1"/>
    <col min="23" max="23" width="24.28515625" customWidth="1"/>
    <col min="24" max="24" width="15.28515625" customWidth="1"/>
    <col min="25" max="25" width="12.85546875" customWidth="1"/>
    <col min="26" max="26" width="13.28515625" customWidth="1"/>
    <col min="27" max="27" width="17.42578125" customWidth="1"/>
    <col min="28" max="28" width="6.140625" bestFit="1" customWidth="1"/>
    <col min="29" max="29" width="37.42578125" customWidth="1"/>
    <col min="30" max="30" width="24.42578125" customWidth="1"/>
    <col min="31" max="31" width="15.28515625" customWidth="1"/>
    <col min="32" max="32" width="12.85546875" customWidth="1"/>
    <col min="33" max="33" width="13.28515625" customWidth="1"/>
    <col min="34" max="34" width="17.42578125" customWidth="1"/>
    <col min="35" max="35" width="6.140625" bestFit="1" customWidth="1"/>
    <col min="36" max="36" width="37.5703125" customWidth="1"/>
    <col min="37" max="37" width="24.28515625" customWidth="1"/>
    <col min="38" max="38" width="15.28515625" customWidth="1"/>
    <col min="39" max="39" width="13" customWidth="1"/>
    <col min="40" max="40" width="13.28515625" customWidth="1"/>
    <col min="41" max="41" width="17.42578125" customWidth="1"/>
    <col min="42" max="42" width="6.140625" customWidth="1"/>
    <col min="43" max="43" width="37.42578125" customWidth="1"/>
    <col min="44" max="44" width="24.28515625" customWidth="1"/>
    <col min="45" max="45" width="15.28515625" customWidth="1"/>
    <col min="46" max="46" width="12.85546875" customWidth="1"/>
    <col min="47" max="47" width="13.28515625" customWidth="1"/>
    <col min="48" max="48" width="17.42578125" customWidth="1"/>
    <col min="49" max="49" width="6.140625" customWidth="1"/>
    <col min="50" max="50" width="37.42578125" customWidth="1"/>
    <col min="51" max="51" width="24.42578125" customWidth="1"/>
    <col min="52" max="52" width="15.140625" customWidth="1"/>
    <col min="53" max="53" width="12.85546875" customWidth="1"/>
    <col min="54" max="54" width="13.28515625" customWidth="1"/>
    <col min="55" max="55" width="17.5703125" customWidth="1"/>
    <col min="56" max="56" width="6.140625" customWidth="1"/>
    <col min="57" max="57" width="37.42578125" customWidth="1"/>
    <col min="58" max="58" width="24.42578125" customWidth="1"/>
    <col min="59" max="59" width="15.28515625" customWidth="1"/>
    <col min="60" max="60" width="12.85546875" customWidth="1"/>
    <col min="61" max="61" width="13.28515625" customWidth="1"/>
    <col min="62" max="62" width="17.42578125" customWidth="1"/>
    <col min="63" max="63" width="6.140625" customWidth="1"/>
    <col min="64" max="64" width="37.5703125" customWidth="1"/>
    <col min="65" max="65" width="24.42578125" customWidth="1"/>
    <col min="66" max="66" width="15.28515625" customWidth="1"/>
    <col min="67" max="67" width="13" customWidth="1"/>
    <col min="68" max="68" width="13.28515625" customWidth="1"/>
    <col min="69" max="69" width="17.42578125" customWidth="1"/>
    <col min="70" max="70" width="6.140625" customWidth="1"/>
    <col min="71" max="71" width="37.5703125" customWidth="1"/>
    <col min="72" max="72" width="24.42578125" customWidth="1"/>
    <col min="73" max="73" width="15.28515625" customWidth="1"/>
    <col min="74" max="74" width="13" customWidth="1"/>
    <col min="75" max="75" width="13.28515625" customWidth="1"/>
    <col min="76" max="76" width="17.42578125" customWidth="1"/>
    <col min="77" max="77" width="6.140625" customWidth="1"/>
    <col min="78" max="78" width="37.42578125" customWidth="1"/>
    <col min="79" max="79" width="24.28515625" customWidth="1"/>
    <col min="80" max="80" width="15.140625" customWidth="1"/>
    <col min="81" max="81" width="12.85546875" customWidth="1"/>
    <col min="82" max="82" width="13.28515625" customWidth="1"/>
    <col min="83" max="83" width="17.5703125" customWidth="1"/>
    <col min="84" max="84" width="6.140625" customWidth="1"/>
    <col min="85" max="85" width="37.42578125" customWidth="1"/>
    <col min="86" max="86" width="24.42578125" customWidth="1"/>
    <col min="87" max="87" width="15.28515625" customWidth="1"/>
    <col min="88" max="88" width="13" customWidth="1"/>
    <col min="89" max="89" width="13.28515625" customWidth="1"/>
    <col min="90" max="90" width="17.42578125" customWidth="1"/>
    <col min="91" max="91" width="6.140625" customWidth="1"/>
    <col min="92" max="92" width="37.42578125" customWidth="1"/>
    <col min="93" max="93" width="24.42578125" customWidth="1"/>
    <col min="94" max="94" width="15.140625" customWidth="1"/>
    <col min="95" max="95" width="13" customWidth="1"/>
    <col min="96" max="96" width="13.28515625" customWidth="1"/>
    <col min="97" max="97" width="17.5703125" customWidth="1"/>
    <col min="98" max="98" width="6" customWidth="1"/>
    <col min="99" max="99" width="37.42578125" customWidth="1"/>
    <col min="100" max="100" width="24.28515625" customWidth="1"/>
    <col min="101" max="101" width="15.140625" customWidth="1"/>
    <col min="102" max="102" width="12.85546875" customWidth="1"/>
    <col min="103" max="103" width="13.42578125" customWidth="1"/>
    <col min="104" max="104" width="17.5703125" customWidth="1"/>
    <col min="105" max="105" width="6.140625" style="18" customWidth="1"/>
    <col min="106" max="106" width="37.42578125" customWidth="1"/>
    <col min="107" max="107" width="24.28515625" customWidth="1"/>
    <col min="108" max="108" width="15.28515625" customWidth="1"/>
    <col min="109" max="109" width="12.85546875" customWidth="1"/>
    <col min="110" max="110" width="13.28515625" customWidth="1"/>
    <col min="111" max="111" width="17.42578125" customWidth="1"/>
    <col min="112" max="112" width="6" style="18" customWidth="1"/>
  </cols>
  <sheetData>
    <row r="1" spans="1:112" ht="26.25" x14ac:dyDescent="0.4">
      <c r="A1" s="346" t="str">
        <f>'Standard Vorgaben'!A1</f>
        <v>Arbokost 2024</v>
      </c>
      <c r="B1" s="375" t="str">
        <f>'Standard Vorgaben'!B8</f>
        <v>Tafelkirsche</v>
      </c>
      <c r="C1" s="341"/>
      <c r="D1" s="341"/>
      <c r="E1" s="342"/>
      <c r="F1" s="343"/>
      <c r="G1" s="341"/>
      <c r="H1" s="341"/>
      <c r="I1" s="341"/>
      <c r="J1" s="340"/>
      <c r="K1" s="340"/>
      <c r="L1" s="340"/>
      <c r="M1" s="340"/>
      <c r="N1" s="340"/>
      <c r="O1" s="340"/>
      <c r="P1" s="340"/>
      <c r="Q1" s="340"/>
      <c r="R1" s="344"/>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28"/>
      <c r="AY1" s="340"/>
      <c r="AZ1" s="340"/>
      <c r="BA1" s="340"/>
      <c r="BB1" s="340"/>
      <c r="BC1" s="340"/>
      <c r="BD1" s="340"/>
      <c r="BE1" s="340"/>
      <c r="BF1" s="340"/>
      <c r="BG1" s="340"/>
      <c r="BH1" s="340"/>
      <c r="BI1" s="340"/>
      <c r="BJ1" s="340"/>
      <c r="BK1" s="340"/>
      <c r="BL1" s="328"/>
      <c r="BM1" s="340"/>
      <c r="BN1" s="340"/>
      <c r="BO1" s="340"/>
      <c r="BP1" s="340"/>
      <c r="BQ1" s="340"/>
      <c r="BR1" s="340"/>
      <c r="BS1" s="340"/>
      <c r="BT1" s="340"/>
      <c r="BU1" s="340"/>
      <c r="BV1" s="340"/>
      <c r="BW1" s="340"/>
      <c r="BX1" s="340"/>
      <c r="BY1" s="340"/>
      <c r="BZ1" s="328"/>
      <c r="CA1" s="340"/>
      <c r="CB1" s="340"/>
      <c r="CC1" s="340"/>
      <c r="CD1" s="340"/>
      <c r="CE1" s="340"/>
      <c r="CF1" s="340"/>
      <c r="CG1" s="340"/>
      <c r="CH1" s="340"/>
      <c r="CI1" s="340"/>
      <c r="CJ1" s="340"/>
      <c r="CK1" s="340"/>
      <c r="CL1" s="340"/>
      <c r="CM1" s="340"/>
      <c r="CN1" s="328"/>
      <c r="CO1" s="340"/>
      <c r="CP1" s="340"/>
      <c r="CQ1" s="340"/>
      <c r="CR1" s="340"/>
      <c r="CS1" s="340"/>
      <c r="CT1" s="340"/>
      <c r="CU1" s="340"/>
      <c r="CV1" s="340"/>
      <c r="CW1" s="340"/>
      <c r="CX1" s="340"/>
      <c r="CY1" s="340"/>
      <c r="CZ1" s="340"/>
      <c r="DA1" s="345"/>
      <c r="DB1" s="340"/>
      <c r="DC1" s="340"/>
      <c r="DD1" s="340"/>
      <c r="DE1" s="340"/>
      <c r="DF1" s="340"/>
      <c r="DG1" s="340"/>
      <c r="DH1" s="345"/>
    </row>
    <row r="2" spans="1:112" x14ac:dyDescent="0.2">
      <c r="A2" s="336"/>
      <c r="B2" s="340"/>
      <c r="C2" s="341"/>
      <c r="D2" s="341"/>
      <c r="E2" s="342"/>
      <c r="F2" s="343"/>
      <c r="G2" s="341"/>
      <c r="H2" s="332"/>
      <c r="I2" s="341"/>
      <c r="J2" s="340"/>
      <c r="K2" s="340"/>
      <c r="L2" s="340"/>
      <c r="M2" s="340"/>
      <c r="N2" s="340"/>
      <c r="O2" s="340"/>
      <c r="P2" s="340"/>
      <c r="Q2" s="340"/>
      <c r="R2" s="340"/>
      <c r="S2" s="340"/>
      <c r="T2" s="340"/>
      <c r="U2" s="340"/>
      <c r="V2" s="328"/>
      <c r="W2" s="340"/>
      <c r="X2" s="340"/>
      <c r="Y2" s="340"/>
      <c r="Z2" s="340"/>
      <c r="AA2" s="340"/>
      <c r="AB2" s="340"/>
      <c r="AC2" s="340"/>
      <c r="AD2" s="340"/>
      <c r="AE2" s="340"/>
      <c r="AF2" s="340"/>
      <c r="AG2" s="340"/>
      <c r="AH2" s="340"/>
      <c r="AI2" s="340"/>
      <c r="AJ2" s="328"/>
      <c r="AK2" s="340"/>
      <c r="AL2" s="340"/>
      <c r="AM2" s="340"/>
      <c r="AN2" s="340"/>
      <c r="AO2" s="340"/>
      <c r="AP2" s="340"/>
      <c r="AQ2" s="340"/>
      <c r="AR2" s="340"/>
      <c r="AS2" s="340"/>
      <c r="AT2" s="340"/>
      <c r="AU2" s="345"/>
      <c r="AV2" s="345"/>
      <c r="AW2" s="340"/>
      <c r="AX2" s="328"/>
      <c r="AY2" s="340"/>
      <c r="AZ2" s="340"/>
      <c r="BA2" s="340"/>
      <c r="BB2" s="340"/>
      <c r="BC2" s="340"/>
      <c r="BD2" s="340"/>
      <c r="BE2" s="340"/>
      <c r="BF2" s="340"/>
      <c r="BG2" s="340"/>
      <c r="BH2" s="340"/>
      <c r="BI2" s="340"/>
      <c r="BJ2" s="340"/>
      <c r="BK2" s="340"/>
      <c r="BL2" s="328"/>
      <c r="BM2" s="340"/>
      <c r="BN2" s="340"/>
      <c r="BO2" s="340"/>
      <c r="BP2" s="340"/>
      <c r="BQ2" s="340"/>
      <c r="BR2" s="340"/>
      <c r="BS2" s="340"/>
      <c r="BT2" s="340"/>
      <c r="BU2" s="340"/>
      <c r="BV2" s="340"/>
      <c r="BW2" s="340"/>
      <c r="BX2" s="340"/>
      <c r="BY2" s="340"/>
      <c r="BZ2" s="328"/>
      <c r="CA2" s="340"/>
      <c r="CB2" s="340"/>
      <c r="CC2" s="340"/>
      <c r="CD2" s="340"/>
      <c r="CE2" s="340"/>
      <c r="CF2" s="340"/>
      <c r="CG2" s="340"/>
      <c r="CH2" s="340"/>
      <c r="CI2" s="340"/>
      <c r="CJ2" s="340"/>
      <c r="CK2" s="340"/>
      <c r="CL2" s="340"/>
      <c r="CM2" s="340"/>
      <c r="CN2" s="328"/>
      <c r="CO2" s="340"/>
      <c r="CP2" s="340"/>
      <c r="CQ2" s="340"/>
      <c r="CR2" s="340"/>
      <c r="CS2" s="340"/>
      <c r="CT2" s="340"/>
      <c r="CU2" s="340"/>
      <c r="CV2" s="340"/>
      <c r="CW2" s="340"/>
      <c r="CX2" s="340"/>
      <c r="CY2" s="340"/>
      <c r="CZ2" s="340"/>
      <c r="DA2" s="345"/>
      <c r="DB2" s="328"/>
      <c r="DC2" s="340"/>
      <c r="DD2" s="340"/>
      <c r="DE2" s="340"/>
      <c r="DF2" s="340"/>
      <c r="DG2" s="340"/>
      <c r="DH2" s="345"/>
    </row>
    <row r="3" spans="1:112" ht="3.75" customHeight="1" x14ac:dyDescent="0.2">
      <c r="A3" s="336"/>
      <c r="B3" s="340"/>
      <c r="C3" s="341"/>
      <c r="D3" s="341"/>
      <c r="E3" s="342"/>
      <c r="F3" s="343"/>
      <c r="G3" s="341"/>
      <c r="H3" s="332"/>
      <c r="I3" s="341"/>
      <c r="J3" s="340"/>
      <c r="K3" s="340"/>
      <c r="L3" s="340"/>
      <c r="M3" s="340"/>
      <c r="N3" s="340"/>
      <c r="O3" s="340"/>
      <c r="P3" s="340"/>
      <c r="Q3" s="340"/>
      <c r="R3" s="340"/>
      <c r="S3" s="340"/>
      <c r="T3" s="340"/>
      <c r="U3" s="340"/>
      <c r="V3" s="328"/>
      <c r="W3" s="340"/>
      <c r="X3" s="340"/>
      <c r="Y3" s="340"/>
      <c r="Z3" s="340"/>
      <c r="AA3" s="340"/>
      <c r="AB3" s="340"/>
      <c r="AC3" s="340"/>
      <c r="AD3" s="340"/>
      <c r="AE3" s="340"/>
      <c r="AF3" s="340"/>
      <c r="AG3" s="340"/>
      <c r="AH3" s="340"/>
      <c r="AI3" s="340"/>
      <c r="AK3" s="340"/>
      <c r="AL3" s="340"/>
      <c r="AM3" s="340"/>
      <c r="AN3" s="340"/>
      <c r="AO3" s="340"/>
      <c r="AP3" s="340"/>
      <c r="AQ3" s="340"/>
      <c r="AR3" s="340"/>
      <c r="AS3" s="340"/>
      <c r="AT3" s="340"/>
      <c r="AU3" s="340"/>
      <c r="AV3" s="340"/>
      <c r="AW3" s="340"/>
      <c r="AY3" s="340"/>
      <c r="AZ3" s="340"/>
      <c r="BA3" s="340"/>
      <c r="BB3" s="340"/>
      <c r="BC3" s="340"/>
      <c r="BD3" s="340"/>
      <c r="BE3" s="340"/>
      <c r="BF3" s="340"/>
      <c r="BG3" s="340"/>
      <c r="BH3" s="340"/>
      <c r="BI3" s="340"/>
      <c r="BJ3" s="340"/>
      <c r="BK3" s="340"/>
      <c r="BL3" s="328"/>
      <c r="BM3" s="340"/>
      <c r="BN3" s="340"/>
      <c r="BO3" s="340"/>
      <c r="BP3" s="340"/>
      <c r="BQ3" s="340"/>
      <c r="BR3" s="340"/>
      <c r="BS3" s="340"/>
      <c r="BT3" s="340"/>
      <c r="BU3" s="340"/>
      <c r="BV3" s="340"/>
      <c r="BW3" s="340"/>
      <c r="BX3" s="340"/>
      <c r="BY3" s="340"/>
      <c r="BZ3" s="328"/>
      <c r="CA3" s="340"/>
      <c r="CB3" s="340"/>
      <c r="CC3" s="340"/>
      <c r="CD3" s="340"/>
      <c r="CE3" s="340"/>
      <c r="CF3" s="340"/>
      <c r="CG3" s="340"/>
      <c r="CH3" s="340"/>
      <c r="CI3" s="340"/>
      <c r="CJ3" s="340"/>
      <c r="CK3" s="340"/>
      <c r="CL3" s="340"/>
      <c r="CM3" s="340"/>
      <c r="CO3" s="340"/>
      <c r="CP3" s="340"/>
      <c r="CQ3" s="340"/>
      <c r="CR3" s="340"/>
      <c r="CS3" s="340"/>
      <c r="CT3" s="340"/>
      <c r="CU3" s="340"/>
      <c r="CV3" s="340"/>
      <c r="CW3" s="340"/>
      <c r="CX3" s="340"/>
      <c r="CY3" s="340"/>
      <c r="CZ3" s="340"/>
      <c r="DA3" s="345"/>
      <c r="DB3" s="328"/>
      <c r="DC3" s="340"/>
      <c r="DD3" s="340"/>
      <c r="DE3" s="340"/>
      <c r="DF3" s="340"/>
      <c r="DG3" s="340"/>
      <c r="DH3" s="345"/>
    </row>
    <row r="4" spans="1:112" ht="24.75" customHeight="1" x14ac:dyDescent="0.3">
      <c r="A4" s="71" t="s">
        <v>346</v>
      </c>
      <c r="B4" s="331"/>
      <c r="C4" s="332"/>
      <c r="D4" s="333"/>
      <c r="E4" s="697"/>
      <c r="F4" s="697"/>
      <c r="G4" s="334"/>
      <c r="H4" s="338" t="s">
        <v>346</v>
      </c>
      <c r="I4" s="331"/>
      <c r="J4" s="332"/>
      <c r="K4" s="333"/>
      <c r="L4" s="328"/>
      <c r="M4" s="333"/>
      <c r="N4" s="334"/>
      <c r="O4" s="29" t="s">
        <v>346</v>
      </c>
      <c r="P4" s="331"/>
      <c r="Q4" s="332"/>
      <c r="R4" s="333"/>
      <c r="S4" s="328"/>
      <c r="T4" s="333"/>
      <c r="U4" s="334"/>
      <c r="V4" s="338" t="s">
        <v>346</v>
      </c>
      <c r="W4" s="331"/>
      <c r="X4" s="332"/>
      <c r="Y4" s="333"/>
      <c r="Z4" s="328"/>
      <c r="AA4" s="333"/>
      <c r="AB4" s="334"/>
      <c r="AC4" s="29" t="s">
        <v>346</v>
      </c>
      <c r="AD4" s="331"/>
      <c r="AE4" s="332"/>
      <c r="AF4" s="340"/>
      <c r="AG4" s="340"/>
      <c r="AH4" s="340"/>
      <c r="AI4" s="334"/>
      <c r="AJ4" s="338" t="s">
        <v>346</v>
      </c>
      <c r="AK4" s="331"/>
      <c r="AL4" s="332"/>
      <c r="AM4" s="333"/>
      <c r="AN4" s="328"/>
      <c r="AO4" s="333"/>
      <c r="AP4" s="334"/>
      <c r="AQ4" s="338" t="s">
        <v>346</v>
      </c>
      <c r="AR4" s="331"/>
      <c r="AS4" s="332"/>
      <c r="AT4" s="333"/>
      <c r="AU4" s="340"/>
      <c r="AV4" s="340"/>
      <c r="AW4" s="340"/>
      <c r="AX4" s="338" t="s">
        <v>346</v>
      </c>
      <c r="AY4" s="331"/>
      <c r="AZ4" s="332"/>
      <c r="BA4" s="333"/>
      <c r="BB4" s="328"/>
      <c r="BC4" s="333"/>
      <c r="BD4" s="334"/>
      <c r="BE4" s="29" t="s">
        <v>346</v>
      </c>
      <c r="BF4" s="480"/>
      <c r="BG4" s="332"/>
      <c r="BH4" s="333"/>
      <c r="BI4" s="328"/>
      <c r="BJ4" s="333"/>
      <c r="BK4" s="334"/>
      <c r="BL4" s="338" t="s">
        <v>346</v>
      </c>
      <c r="BM4" s="331"/>
      <c r="BN4" s="332"/>
      <c r="BO4" s="333"/>
      <c r="BP4" s="328"/>
      <c r="BQ4" s="333"/>
      <c r="BR4" s="334"/>
      <c r="BS4" s="29" t="s">
        <v>346</v>
      </c>
      <c r="BT4" s="331"/>
      <c r="BU4" s="332"/>
      <c r="BV4" s="340"/>
      <c r="BW4" s="340"/>
      <c r="BX4" s="340"/>
      <c r="BY4" s="334"/>
      <c r="BZ4" s="338" t="s">
        <v>346</v>
      </c>
      <c r="CA4" s="331"/>
      <c r="CB4" s="332"/>
      <c r="CC4" s="333"/>
      <c r="CD4" s="328"/>
      <c r="CE4" s="333"/>
      <c r="CF4" s="334"/>
      <c r="CG4" s="29" t="s">
        <v>346</v>
      </c>
      <c r="CH4" s="331"/>
      <c r="CI4" s="332"/>
      <c r="CJ4" s="333"/>
      <c r="CK4" s="697"/>
      <c r="CL4" s="697"/>
      <c r="CM4" s="334"/>
      <c r="CN4" s="338" t="s">
        <v>346</v>
      </c>
      <c r="CO4" s="331"/>
      <c r="CP4" s="332"/>
      <c r="CQ4" s="333"/>
      <c r="CR4" s="328"/>
      <c r="CS4" s="333"/>
      <c r="CT4" s="334"/>
      <c r="CU4" s="29" t="s">
        <v>346</v>
      </c>
      <c r="CV4" s="331"/>
      <c r="CW4" s="332"/>
      <c r="CX4" s="333"/>
      <c r="CY4" s="697"/>
      <c r="CZ4" s="697"/>
      <c r="DA4" s="334"/>
      <c r="DB4" s="338" t="s">
        <v>346</v>
      </c>
      <c r="DC4" s="331"/>
      <c r="DD4" s="332"/>
      <c r="DE4" s="333"/>
      <c r="DF4" s="328"/>
      <c r="DG4" s="333"/>
      <c r="DH4" s="334"/>
    </row>
    <row r="5" spans="1:112" ht="16.5" customHeight="1" x14ac:dyDescent="0.25">
      <c r="A5" s="446" t="s">
        <v>43</v>
      </c>
      <c r="B5" s="484">
        <f>'Standard Erstellung'!$E$16</f>
        <v>900</v>
      </c>
      <c r="C5" s="335"/>
      <c r="D5" s="336"/>
      <c r="E5" s="538" t="s">
        <v>126</v>
      </c>
      <c r="F5" s="539"/>
      <c r="G5" s="337"/>
      <c r="H5" s="446" t="s">
        <v>44</v>
      </c>
      <c r="I5" s="480"/>
      <c r="J5" s="335"/>
      <c r="K5" s="336"/>
      <c r="L5" s="336"/>
      <c r="M5" s="336"/>
      <c r="N5" s="337"/>
      <c r="O5" s="446" t="s">
        <v>45</v>
      </c>
      <c r="P5" s="480"/>
      <c r="Q5" s="335"/>
      <c r="R5" s="336"/>
      <c r="S5" s="336"/>
      <c r="T5" s="336"/>
      <c r="U5" s="337"/>
      <c r="V5" s="446" t="s">
        <v>46</v>
      </c>
      <c r="W5" s="480"/>
      <c r="X5" s="335"/>
      <c r="Y5" s="336"/>
      <c r="Z5" s="336"/>
      <c r="AA5" s="336"/>
      <c r="AB5" s="337"/>
      <c r="AC5" s="446" t="s">
        <v>47</v>
      </c>
      <c r="AD5" s="480"/>
      <c r="AE5" s="335"/>
      <c r="AF5" s="333"/>
      <c r="AG5" s="328"/>
      <c r="AH5" s="333"/>
      <c r="AI5" s="337"/>
      <c r="AJ5" s="446" t="s">
        <v>48</v>
      </c>
      <c r="AK5" s="480"/>
      <c r="AL5" s="335"/>
      <c r="AM5" s="336"/>
      <c r="AN5" s="336"/>
      <c r="AO5" s="336"/>
      <c r="AP5" s="17"/>
      <c r="AQ5" s="446" t="s">
        <v>49</v>
      </c>
      <c r="AR5" s="480"/>
      <c r="AS5" s="335"/>
      <c r="AT5" s="336"/>
      <c r="AU5" s="333"/>
      <c r="AV5" s="328"/>
      <c r="AW5" s="333"/>
      <c r="AX5" s="446" t="s">
        <v>50</v>
      </c>
      <c r="AY5" s="480"/>
      <c r="AZ5" s="335"/>
      <c r="BA5" s="336"/>
      <c r="BB5" s="336"/>
      <c r="BC5" s="336"/>
      <c r="BD5" s="337"/>
      <c r="BE5" s="446" t="s">
        <v>51</v>
      </c>
      <c r="BF5" s="480"/>
      <c r="BG5" s="335"/>
      <c r="BH5" s="336"/>
      <c r="BI5" s="336"/>
      <c r="BJ5" s="336"/>
      <c r="BK5" s="337"/>
      <c r="BL5" s="446" t="s">
        <v>52</v>
      </c>
      <c r="BM5" s="480"/>
      <c r="BN5" s="335"/>
      <c r="BO5" s="336"/>
      <c r="BP5" s="336"/>
      <c r="BQ5" s="336"/>
      <c r="BR5" s="337"/>
      <c r="BS5" s="446" t="s">
        <v>53</v>
      </c>
      <c r="BT5" s="480"/>
      <c r="BU5" s="335"/>
      <c r="BV5" s="333"/>
      <c r="BW5" s="328"/>
      <c r="BX5" s="333"/>
      <c r="BY5" s="337"/>
      <c r="BZ5" s="446" t="s">
        <v>54</v>
      </c>
      <c r="CA5" s="480"/>
      <c r="CB5" s="335"/>
      <c r="CC5" s="336"/>
      <c r="CD5" s="336"/>
      <c r="CE5" s="336"/>
      <c r="CF5" s="337"/>
      <c r="CG5" s="446" t="s">
        <v>55</v>
      </c>
      <c r="CH5" s="480"/>
      <c r="CI5" s="335"/>
      <c r="CJ5" s="336"/>
      <c r="CK5" s="538" t="s">
        <v>126</v>
      </c>
      <c r="CL5" s="539"/>
      <c r="CM5" s="337"/>
      <c r="CN5" s="446" t="s">
        <v>56</v>
      </c>
      <c r="CO5" s="480"/>
      <c r="CP5" s="335"/>
      <c r="CQ5" s="336"/>
      <c r="CR5" s="336"/>
      <c r="CS5" s="336"/>
      <c r="CT5" s="337"/>
      <c r="CU5" s="446" t="s">
        <v>57</v>
      </c>
      <c r="CV5" s="480"/>
      <c r="CW5" s="335"/>
      <c r="CX5" s="336"/>
      <c r="CY5" s="538" t="s">
        <v>126</v>
      </c>
      <c r="CZ5" s="539"/>
      <c r="DA5" s="337"/>
      <c r="DB5" s="446" t="s">
        <v>179</v>
      </c>
      <c r="DC5" s="480"/>
      <c r="DD5" s="335"/>
      <c r="DE5" s="336"/>
      <c r="DF5" s="336"/>
      <c r="DG5" s="336"/>
      <c r="DH5" s="337"/>
    </row>
    <row r="6" spans="1:112" ht="16.5" customHeight="1" x14ac:dyDescent="0.25">
      <c r="A6" s="265" t="s">
        <v>79</v>
      </c>
      <c r="B6" s="3"/>
      <c r="C6" s="333"/>
      <c r="D6" s="337"/>
      <c r="E6" s="337"/>
      <c r="F6" s="339"/>
      <c r="G6" s="333"/>
      <c r="H6" s="265" t="s">
        <v>79</v>
      </c>
      <c r="I6" s="352"/>
      <c r="J6" s="333"/>
      <c r="K6" s="332"/>
      <c r="L6" s="341"/>
      <c r="M6" s="339"/>
      <c r="N6" s="333"/>
      <c r="O6" s="265" t="s">
        <v>79</v>
      </c>
      <c r="P6" s="352"/>
      <c r="Q6" s="333"/>
      <c r="R6" s="332"/>
      <c r="S6" s="341"/>
      <c r="T6" s="339"/>
      <c r="U6" s="333"/>
      <c r="V6" s="265" t="s">
        <v>79</v>
      </c>
      <c r="W6" s="352"/>
      <c r="X6" s="333"/>
      <c r="Y6" s="332"/>
      <c r="Z6" s="341"/>
      <c r="AA6" s="339"/>
      <c r="AB6" s="333"/>
      <c r="AC6" s="265" t="s">
        <v>79</v>
      </c>
      <c r="AD6" s="352"/>
      <c r="AE6" s="333"/>
      <c r="AF6" s="336"/>
      <c r="AG6" s="336"/>
      <c r="AH6" s="336"/>
      <c r="AI6" s="333"/>
      <c r="AJ6" s="265" t="s">
        <v>79</v>
      </c>
      <c r="AK6" s="352"/>
      <c r="AL6" s="333"/>
      <c r="AM6" s="332"/>
      <c r="AN6" s="341"/>
      <c r="AO6" s="339"/>
      <c r="AP6" s="333"/>
      <c r="AQ6" s="265" t="s">
        <v>79</v>
      </c>
      <c r="AR6" s="352"/>
      <c r="AS6" s="333"/>
      <c r="AT6" s="332"/>
      <c r="AU6" s="336"/>
      <c r="AV6" s="336"/>
      <c r="AW6" s="336"/>
      <c r="AX6" s="265" t="s">
        <v>79</v>
      </c>
      <c r="AY6" s="352"/>
      <c r="AZ6" s="333"/>
      <c r="BA6" s="332"/>
      <c r="BB6" s="341"/>
      <c r="BC6" s="339"/>
      <c r="BD6" s="333"/>
      <c r="BE6" s="265" t="s">
        <v>79</v>
      </c>
      <c r="BF6" s="352"/>
      <c r="BG6" s="333"/>
      <c r="BH6" s="332"/>
      <c r="BI6" s="341"/>
      <c r="BJ6" s="339"/>
      <c r="BK6" s="333"/>
      <c r="BL6" s="265" t="s">
        <v>79</v>
      </c>
      <c r="BM6" s="352"/>
      <c r="BN6" s="333"/>
      <c r="BO6" s="332"/>
      <c r="BP6" s="341"/>
      <c r="BQ6" s="339"/>
      <c r="BR6" s="333"/>
      <c r="BS6" s="265" t="s">
        <v>79</v>
      </c>
      <c r="BT6" s="352"/>
      <c r="BU6" s="333"/>
      <c r="BV6" s="336"/>
      <c r="BW6" s="336"/>
      <c r="BX6" s="336"/>
      <c r="BY6" s="333"/>
      <c r="BZ6" s="265" t="s">
        <v>79</v>
      </c>
      <c r="CA6" s="352"/>
      <c r="CB6" s="333"/>
      <c r="CC6" s="332"/>
      <c r="CD6" s="341"/>
      <c r="CE6" s="339"/>
      <c r="CF6" s="333"/>
      <c r="CG6" s="265" t="s">
        <v>79</v>
      </c>
      <c r="CH6" s="352"/>
      <c r="CI6" s="333"/>
      <c r="CJ6" s="332"/>
      <c r="CK6" s="341"/>
      <c r="CL6" s="339"/>
      <c r="CM6" s="333"/>
      <c r="CN6" s="265" t="s">
        <v>79</v>
      </c>
      <c r="CO6" s="352"/>
      <c r="CP6" s="333"/>
      <c r="CQ6" s="332"/>
      <c r="CR6" s="341"/>
      <c r="CS6" s="339"/>
      <c r="CT6" s="333"/>
      <c r="CU6" s="265" t="s">
        <v>79</v>
      </c>
      <c r="CV6" s="352"/>
      <c r="CW6" s="333"/>
      <c r="CX6" s="332"/>
      <c r="CY6" s="341"/>
      <c r="CZ6" s="339"/>
      <c r="DA6" s="333"/>
      <c r="DB6" s="265" t="s">
        <v>79</v>
      </c>
      <c r="DC6" s="352"/>
      <c r="DD6" s="333"/>
      <c r="DE6" s="332"/>
      <c r="DF6" s="341"/>
      <c r="DG6" s="339"/>
      <c r="DH6" s="333"/>
    </row>
    <row r="7" spans="1:112" x14ac:dyDescent="0.2">
      <c r="C7" s="34" t="s">
        <v>58</v>
      </c>
      <c r="D7" s="34" t="s">
        <v>59</v>
      </c>
      <c r="E7" s="35" t="s">
        <v>60</v>
      </c>
      <c r="F7" s="36" t="s">
        <v>61</v>
      </c>
      <c r="G7" s="37" t="s">
        <v>62</v>
      </c>
      <c r="H7" s="17"/>
      <c r="I7" s="20"/>
      <c r="J7" s="34" t="s">
        <v>58</v>
      </c>
      <c r="K7" s="34" t="s">
        <v>59</v>
      </c>
      <c r="L7" s="35" t="s">
        <v>60</v>
      </c>
      <c r="M7" s="36" t="s">
        <v>61</v>
      </c>
      <c r="N7" s="37" t="s">
        <v>62</v>
      </c>
      <c r="O7" s="17"/>
      <c r="P7" s="20"/>
      <c r="Q7" s="34" t="s">
        <v>58</v>
      </c>
      <c r="R7" s="34" t="s">
        <v>59</v>
      </c>
      <c r="S7" s="35" t="s">
        <v>60</v>
      </c>
      <c r="T7" s="36" t="s">
        <v>61</v>
      </c>
      <c r="U7" s="37" t="s">
        <v>62</v>
      </c>
      <c r="V7" s="17"/>
      <c r="W7" s="20"/>
      <c r="X7" s="34" t="s">
        <v>58</v>
      </c>
      <c r="Y7" s="34" t="s">
        <v>59</v>
      </c>
      <c r="Z7" s="35" t="s">
        <v>60</v>
      </c>
      <c r="AA7" s="36" t="s">
        <v>61</v>
      </c>
      <c r="AB7" s="37" t="s">
        <v>62</v>
      </c>
      <c r="AC7" s="17"/>
      <c r="AD7" s="20"/>
      <c r="AE7" s="34" t="s">
        <v>58</v>
      </c>
      <c r="AF7" s="34" t="s">
        <v>59</v>
      </c>
      <c r="AG7" s="35" t="s">
        <v>60</v>
      </c>
      <c r="AH7" s="36" t="s">
        <v>61</v>
      </c>
      <c r="AI7" s="37" t="s">
        <v>62</v>
      </c>
      <c r="AJ7" s="17"/>
      <c r="AK7" s="20"/>
      <c r="AL7" s="34" t="s">
        <v>58</v>
      </c>
      <c r="AM7" s="34" t="s">
        <v>59</v>
      </c>
      <c r="AN7" s="35" t="s">
        <v>60</v>
      </c>
      <c r="AO7" s="36" t="s">
        <v>61</v>
      </c>
      <c r="AP7" s="37" t="s">
        <v>62</v>
      </c>
      <c r="AQ7" s="17"/>
      <c r="AR7" s="20"/>
      <c r="AS7" s="34" t="s">
        <v>58</v>
      </c>
      <c r="AT7" s="34" t="s">
        <v>59</v>
      </c>
      <c r="AU7" s="35" t="s">
        <v>60</v>
      </c>
      <c r="AV7" s="36" t="s">
        <v>61</v>
      </c>
      <c r="AW7" s="37" t="s">
        <v>62</v>
      </c>
      <c r="AX7" s="17"/>
      <c r="AY7" s="20"/>
      <c r="AZ7" s="34" t="s">
        <v>58</v>
      </c>
      <c r="BA7" s="34" t="s">
        <v>59</v>
      </c>
      <c r="BB7" s="35" t="s">
        <v>60</v>
      </c>
      <c r="BC7" s="36" t="s">
        <v>61</v>
      </c>
      <c r="BD7" s="37" t="s">
        <v>62</v>
      </c>
      <c r="BE7" s="17"/>
      <c r="BF7" s="20"/>
      <c r="BG7" s="34" t="s">
        <v>58</v>
      </c>
      <c r="BH7" s="34" t="s">
        <v>59</v>
      </c>
      <c r="BI7" s="35" t="s">
        <v>60</v>
      </c>
      <c r="BJ7" s="36" t="s">
        <v>61</v>
      </c>
      <c r="BK7" s="37" t="s">
        <v>62</v>
      </c>
      <c r="BL7" s="17"/>
      <c r="BM7" s="20"/>
      <c r="BN7" s="34" t="s">
        <v>58</v>
      </c>
      <c r="BO7" s="34" t="s">
        <v>59</v>
      </c>
      <c r="BP7" s="35" t="s">
        <v>60</v>
      </c>
      <c r="BQ7" s="36" t="s">
        <v>61</v>
      </c>
      <c r="BR7" s="37" t="s">
        <v>62</v>
      </c>
      <c r="BS7" s="17"/>
      <c r="BT7" s="20"/>
      <c r="BU7" s="34" t="s">
        <v>58</v>
      </c>
      <c r="BV7" s="34" t="s">
        <v>59</v>
      </c>
      <c r="BW7" s="35" t="s">
        <v>60</v>
      </c>
      <c r="BX7" s="36" t="s">
        <v>61</v>
      </c>
      <c r="BY7" s="37" t="s">
        <v>62</v>
      </c>
      <c r="BZ7" s="17"/>
      <c r="CA7" s="20"/>
      <c r="CB7" s="34" t="s">
        <v>58</v>
      </c>
      <c r="CC7" s="34" t="s">
        <v>59</v>
      </c>
      <c r="CD7" s="35" t="s">
        <v>60</v>
      </c>
      <c r="CE7" s="36" t="s">
        <v>61</v>
      </c>
      <c r="CF7" s="37" t="s">
        <v>62</v>
      </c>
      <c r="CG7" s="17"/>
      <c r="CH7" s="20"/>
      <c r="CI7" s="34" t="s">
        <v>58</v>
      </c>
      <c r="CJ7" s="34" t="s">
        <v>59</v>
      </c>
      <c r="CK7" s="35" t="s">
        <v>60</v>
      </c>
      <c r="CL7" s="36" t="s">
        <v>61</v>
      </c>
      <c r="CM7" s="37" t="s">
        <v>62</v>
      </c>
      <c r="CN7" s="17"/>
      <c r="CO7" s="20"/>
      <c r="CP7" s="34" t="s">
        <v>58</v>
      </c>
      <c r="CQ7" s="34" t="s">
        <v>59</v>
      </c>
      <c r="CR7" s="35" t="s">
        <v>60</v>
      </c>
      <c r="CS7" s="36" t="s">
        <v>61</v>
      </c>
      <c r="CT7" s="37" t="s">
        <v>62</v>
      </c>
      <c r="CU7" s="17"/>
      <c r="CV7" s="20"/>
      <c r="CW7" s="34" t="s">
        <v>58</v>
      </c>
      <c r="CX7" s="34" t="s">
        <v>59</v>
      </c>
      <c r="CY7" s="35" t="s">
        <v>60</v>
      </c>
      <c r="CZ7" s="36" t="s">
        <v>61</v>
      </c>
      <c r="DA7" s="37" t="s">
        <v>62</v>
      </c>
      <c r="DB7" s="17"/>
      <c r="DC7" s="20"/>
      <c r="DD7" s="34" t="s">
        <v>58</v>
      </c>
      <c r="DE7" s="34" t="s">
        <v>59</v>
      </c>
      <c r="DF7" s="35" t="s">
        <v>60</v>
      </c>
      <c r="DG7" s="36" t="s">
        <v>61</v>
      </c>
      <c r="DH7" s="37" t="s">
        <v>62</v>
      </c>
    </row>
    <row r="8" spans="1:112" ht="13.7" customHeight="1" x14ac:dyDescent="0.2">
      <c r="A8" s="22" t="s">
        <v>63</v>
      </c>
      <c r="B8" s="62" t="str">
        <f>'Var Vorgaben'!$B$40</f>
        <v xml:space="preserve"> 22+ mm</v>
      </c>
      <c r="C8" s="113">
        <f>D8/B5</f>
        <v>0</v>
      </c>
      <c r="D8" s="192">
        <f>G8*D10</f>
        <v>0</v>
      </c>
      <c r="E8" s="691">
        <f>'Standard Vorgaben'!B41</f>
        <v>8.1999999999999993</v>
      </c>
      <c r="F8" s="59">
        <f>D8*E8</f>
        <v>0</v>
      </c>
      <c r="G8" s="89">
        <f>'Standard Vorgaben'!B65</f>
        <v>0.9</v>
      </c>
      <c r="H8" s="22" t="s">
        <v>63</v>
      </c>
      <c r="I8" s="62" t="str">
        <f>'Var Vorgaben'!$B$40</f>
        <v xml:space="preserve"> 22+ mm</v>
      </c>
      <c r="J8" s="113">
        <f>K8/B5</f>
        <v>0</v>
      </c>
      <c r="K8" s="192">
        <f>N8*K10</f>
        <v>0</v>
      </c>
      <c r="L8" s="691">
        <f>'Standard Vorgaben'!B41</f>
        <v>8.1999999999999993</v>
      </c>
      <c r="M8" s="59">
        <f>K8*L8</f>
        <v>0</v>
      </c>
      <c r="N8" s="89">
        <f>'Standard Vorgaben'!B66</f>
        <v>0.9</v>
      </c>
      <c r="O8" s="22" t="s">
        <v>63</v>
      </c>
      <c r="P8" s="62" t="str">
        <f>'Var Vorgaben'!$B$40</f>
        <v xml:space="preserve"> 22+ mm</v>
      </c>
      <c r="Q8" s="113">
        <f>R8/B5</f>
        <v>1.095</v>
      </c>
      <c r="R8" s="192">
        <f>U8*R10</f>
        <v>985.5</v>
      </c>
      <c r="S8" s="691">
        <f>'Standard Vorgaben'!B41</f>
        <v>8.1999999999999993</v>
      </c>
      <c r="T8" s="59">
        <f>R8*S8</f>
        <v>8081.0999999999995</v>
      </c>
      <c r="U8" s="89">
        <f>'Standard Vorgaben'!B67</f>
        <v>0.9</v>
      </c>
      <c r="V8" s="22" t="s">
        <v>63</v>
      </c>
      <c r="W8" s="62" t="str">
        <f>'Var Vorgaben'!$B$40</f>
        <v xml:space="preserve"> 22+ mm</v>
      </c>
      <c r="X8" s="113">
        <f>Y8/B5</f>
        <v>3.65</v>
      </c>
      <c r="Y8" s="192">
        <f>AB8*Y10</f>
        <v>3285</v>
      </c>
      <c r="Z8" s="691">
        <f>'Standard Vorgaben'!B41</f>
        <v>8.1999999999999993</v>
      </c>
      <c r="AA8" s="59">
        <f>Y8*Z8</f>
        <v>26936.999999999996</v>
      </c>
      <c r="AB8" s="89">
        <f>'Standard Vorgaben'!B68</f>
        <v>0.9</v>
      </c>
      <c r="AC8" s="22" t="s">
        <v>63</v>
      </c>
      <c r="AD8" s="62" t="str">
        <f>'Var Vorgaben'!$B$40</f>
        <v xml:space="preserve"> 22+ mm</v>
      </c>
      <c r="AE8" s="113">
        <f>AF8/B5</f>
        <v>10</v>
      </c>
      <c r="AF8" s="192">
        <f>AI8*AF10</f>
        <v>9000</v>
      </c>
      <c r="AG8" s="691">
        <f>'Standard Vorgaben'!B41</f>
        <v>8.1999999999999993</v>
      </c>
      <c r="AH8" s="59">
        <f>AF8*AG8</f>
        <v>73800</v>
      </c>
      <c r="AI8" s="89">
        <f>'Standard Vorgaben'!B69</f>
        <v>0.9</v>
      </c>
      <c r="AJ8" s="22" t="s">
        <v>63</v>
      </c>
      <c r="AK8" s="62" t="str">
        <f>'Var Vorgaben'!$B$40</f>
        <v xml:space="preserve"> 22+ mm</v>
      </c>
      <c r="AL8" s="113">
        <f>AM8/B5</f>
        <v>10</v>
      </c>
      <c r="AM8" s="192">
        <f>AP8*AM10</f>
        <v>9000</v>
      </c>
      <c r="AN8" s="691">
        <f>'Standard Vorgaben'!B41</f>
        <v>8.1999999999999993</v>
      </c>
      <c r="AO8" s="59">
        <f>AM8*AN8</f>
        <v>73800</v>
      </c>
      <c r="AP8" s="89">
        <f>'Standard Vorgaben'!B70</f>
        <v>0.9</v>
      </c>
      <c r="AQ8" s="22" t="s">
        <v>63</v>
      </c>
      <c r="AR8" s="62" t="str">
        <f>'Var Vorgaben'!$B$40</f>
        <v xml:space="preserve"> 22+ mm</v>
      </c>
      <c r="AS8" s="113">
        <f>AT8/B5</f>
        <v>10</v>
      </c>
      <c r="AT8" s="192">
        <f>AW8*AT10</f>
        <v>9000</v>
      </c>
      <c r="AU8" s="691">
        <f>'Standard Vorgaben'!B41</f>
        <v>8.1999999999999993</v>
      </c>
      <c r="AV8" s="59">
        <f>AT8*AU8</f>
        <v>73800</v>
      </c>
      <c r="AW8" s="89">
        <f>'Standard Vorgaben'!B71</f>
        <v>0.9</v>
      </c>
      <c r="AX8" s="22" t="s">
        <v>63</v>
      </c>
      <c r="AY8" s="62" t="str">
        <f>'Var Vorgaben'!$B$40</f>
        <v xml:space="preserve"> 22+ mm</v>
      </c>
      <c r="AZ8" s="113">
        <f>BA8/B5</f>
        <v>10</v>
      </c>
      <c r="BA8" s="192">
        <f>BD8*BA10</f>
        <v>9000</v>
      </c>
      <c r="BB8" s="691">
        <f>'Standard Vorgaben'!B41</f>
        <v>8.1999999999999993</v>
      </c>
      <c r="BC8" s="59">
        <f>BA8*BB8</f>
        <v>73800</v>
      </c>
      <c r="BD8" s="89">
        <f>'Standard Vorgaben'!B72</f>
        <v>0.9</v>
      </c>
      <c r="BE8" s="22" t="s">
        <v>63</v>
      </c>
      <c r="BF8" s="62" t="str">
        <f>'Var Vorgaben'!$B$40</f>
        <v xml:space="preserve"> 22+ mm</v>
      </c>
      <c r="BG8" s="113">
        <f>BH8/B5</f>
        <v>10</v>
      </c>
      <c r="BH8" s="192">
        <f>BK8*BH10</f>
        <v>9000</v>
      </c>
      <c r="BI8" s="691">
        <f>'Standard Vorgaben'!B41</f>
        <v>8.1999999999999993</v>
      </c>
      <c r="BJ8" s="59">
        <f>BH8*BI8</f>
        <v>73800</v>
      </c>
      <c r="BK8" s="89">
        <f>'Standard Vorgaben'!B73</f>
        <v>0.9</v>
      </c>
      <c r="BL8" s="22" t="s">
        <v>63</v>
      </c>
      <c r="BM8" s="62" t="str">
        <f>'Var Vorgaben'!$B$40</f>
        <v xml:space="preserve"> 22+ mm</v>
      </c>
      <c r="BN8" s="113">
        <f>BO8/B5</f>
        <v>10</v>
      </c>
      <c r="BO8" s="192">
        <f>BR8*BO10</f>
        <v>9000</v>
      </c>
      <c r="BP8" s="691">
        <f>'Standard Vorgaben'!B41</f>
        <v>8.1999999999999993</v>
      </c>
      <c r="BQ8" s="59">
        <f>BO8*BP8</f>
        <v>73800</v>
      </c>
      <c r="BR8" s="89">
        <f>'Standard Vorgaben'!B74</f>
        <v>0.9</v>
      </c>
      <c r="BS8" s="22" t="s">
        <v>63</v>
      </c>
      <c r="BT8" s="62" t="str">
        <f>'Var Vorgaben'!$B$40</f>
        <v xml:space="preserve"> 22+ mm</v>
      </c>
      <c r="BU8" s="113">
        <f>BV8/B5</f>
        <v>10</v>
      </c>
      <c r="BV8" s="192">
        <f>BY8*BV10</f>
        <v>9000</v>
      </c>
      <c r="BW8" s="691">
        <f>'Standard Vorgaben'!B41</f>
        <v>8.1999999999999993</v>
      </c>
      <c r="BX8" s="59">
        <f>BV8*BW8</f>
        <v>73800</v>
      </c>
      <c r="BY8" s="89">
        <f>'Standard Vorgaben'!B75</f>
        <v>0.9</v>
      </c>
      <c r="BZ8" s="22" t="s">
        <v>63</v>
      </c>
      <c r="CA8" s="62" t="str">
        <f>'Var Vorgaben'!$B$40</f>
        <v xml:space="preserve"> 22+ mm</v>
      </c>
      <c r="CB8" s="113">
        <f>CC8/B5</f>
        <v>10</v>
      </c>
      <c r="CC8" s="192">
        <f>CF8*CC10</f>
        <v>9000</v>
      </c>
      <c r="CD8" s="691">
        <f>'Standard Vorgaben'!B41</f>
        <v>8.1999999999999993</v>
      </c>
      <c r="CE8" s="59">
        <f>CC8*CD8</f>
        <v>73800</v>
      </c>
      <c r="CF8" s="89">
        <f>'Standard Vorgaben'!B76</f>
        <v>0.9</v>
      </c>
      <c r="CG8" s="22" t="s">
        <v>63</v>
      </c>
      <c r="CH8" s="62" t="str">
        <f>'Var Vorgaben'!$B$40</f>
        <v xml:space="preserve"> 22+ mm</v>
      </c>
      <c r="CI8" s="113">
        <f>CJ8/B5</f>
        <v>10</v>
      </c>
      <c r="CJ8" s="192">
        <f>CM8*CJ10</f>
        <v>9000</v>
      </c>
      <c r="CK8" s="691">
        <f>'Standard Vorgaben'!B41</f>
        <v>8.1999999999999993</v>
      </c>
      <c r="CL8" s="59">
        <f>CJ8*CK8</f>
        <v>73800</v>
      </c>
      <c r="CM8" s="89">
        <f>'Standard Vorgaben'!B77</f>
        <v>0.9</v>
      </c>
      <c r="CN8" s="22" t="s">
        <v>63</v>
      </c>
      <c r="CO8" s="62" t="str">
        <f>'Var Vorgaben'!$B$40</f>
        <v xml:space="preserve"> 22+ mm</v>
      </c>
      <c r="CP8" s="113">
        <f>CQ8/B5</f>
        <v>10</v>
      </c>
      <c r="CQ8" s="192">
        <f>CT8*CQ10</f>
        <v>9000</v>
      </c>
      <c r="CR8" s="691">
        <f>'Standard Vorgaben'!B41</f>
        <v>8.1999999999999993</v>
      </c>
      <c r="CS8" s="59">
        <f>CQ8*CR8</f>
        <v>73800</v>
      </c>
      <c r="CT8" s="89">
        <f>'Standard Vorgaben'!B78</f>
        <v>0.9</v>
      </c>
      <c r="CU8" s="22" t="s">
        <v>63</v>
      </c>
      <c r="CV8" s="62" t="str">
        <f>'Var Vorgaben'!$B$40</f>
        <v xml:space="preserve"> 22+ mm</v>
      </c>
      <c r="CW8" s="113">
        <f>CX8/B5</f>
        <v>10</v>
      </c>
      <c r="CX8" s="192">
        <f>DA8*CX10</f>
        <v>9000</v>
      </c>
      <c r="CY8" s="691">
        <f>'Standard Vorgaben'!B41</f>
        <v>8.1999999999999993</v>
      </c>
      <c r="CZ8" s="59">
        <f>CX8*CY8</f>
        <v>73800</v>
      </c>
      <c r="DA8" s="89">
        <f>'Standard Vorgaben'!B79</f>
        <v>0.9</v>
      </c>
      <c r="DB8" s="22" t="s">
        <v>63</v>
      </c>
      <c r="DC8" s="62" t="str">
        <f>'Var Vorgaben'!$B$40</f>
        <v xml:space="preserve"> 22+ mm</v>
      </c>
      <c r="DD8" s="113">
        <f>DE8/B5</f>
        <v>10</v>
      </c>
      <c r="DE8" s="192">
        <f>DH8*DE10</f>
        <v>9000</v>
      </c>
      <c r="DF8" s="691">
        <f>'Standard Vorgaben'!B41</f>
        <v>8.1999999999999993</v>
      </c>
      <c r="DG8" s="59">
        <f>DE8*DF8</f>
        <v>73800</v>
      </c>
      <c r="DH8" s="89">
        <f>'Standard Vorgaben'!B80</f>
        <v>0.9</v>
      </c>
    </row>
    <row r="9" spans="1:112" ht="13.7" customHeight="1" thickBot="1" x14ac:dyDescent="0.25">
      <c r="A9" s="22"/>
      <c r="B9" s="104" t="str">
        <f>'Standard Vorgaben'!$C$40</f>
        <v xml:space="preserve"> Abgang</v>
      </c>
      <c r="C9" s="613">
        <f>D9/B5</f>
        <v>0</v>
      </c>
      <c r="D9" s="614">
        <f>G9*D11</f>
        <v>0</v>
      </c>
      <c r="E9" s="692">
        <f>'Standard Vorgaben'!C41</f>
        <v>0</v>
      </c>
      <c r="F9" s="198">
        <f>D9*E9</f>
        <v>0</v>
      </c>
      <c r="G9" s="693">
        <f>'Standard Vorgaben'!C65</f>
        <v>0.1</v>
      </c>
      <c r="H9" s="22"/>
      <c r="I9" s="104" t="str">
        <f>'Standard Vorgaben'!$C$40</f>
        <v xml:space="preserve"> Abgang</v>
      </c>
      <c r="J9" s="613">
        <f>K9/B5</f>
        <v>0</v>
      </c>
      <c r="K9" s="614">
        <f>N9*K10</f>
        <v>0</v>
      </c>
      <c r="L9" s="692">
        <f>'Standard Vorgaben'!C41</f>
        <v>0</v>
      </c>
      <c r="M9" s="198">
        <f>K9*L9</f>
        <v>0</v>
      </c>
      <c r="N9" s="693">
        <f>'Standard Vorgaben'!C66</f>
        <v>0.1</v>
      </c>
      <c r="O9" s="22"/>
      <c r="P9" s="104" t="str">
        <f>'Standard Vorgaben'!$C$40</f>
        <v xml:space="preserve"> Abgang</v>
      </c>
      <c r="Q9" s="613">
        <f>R9/B5</f>
        <v>0.12166666666666667</v>
      </c>
      <c r="R9" s="614">
        <f>U9*R10</f>
        <v>109.5</v>
      </c>
      <c r="S9" s="692">
        <f>'Standard Vorgaben'!C41</f>
        <v>0</v>
      </c>
      <c r="T9" s="198">
        <f>R9*S9</f>
        <v>0</v>
      </c>
      <c r="U9" s="693">
        <f>'Standard Vorgaben'!C67</f>
        <v>0.1</v>
      </c>
      <c r="V9" s="22"/>
      <c r="W9" s="104" t="str">
        <f>'Standard Vorgaben'!$C$40</f>
        <v xml:space="preserve"> Abgang</v>
      </c>
      <c r="X9" s="613">
        <f>Y9/B5</f>
        <v>0.40555555555555556</v>
      </c>
      <c r="Y9" s="614">
        <f>AB9*Y10</f>
        <v>365</v>
      </c>
      <c r="Z9" s="692">
        <f>'Standard Vorgaben'!C41</f>
        <v>0</v>
      </c>
      <c r="AA9" s="198">
        <f>Y9*Z9</f>
        <v>0</v>
      </c>
      <c r="AB9" s="693">
        <f>'Standard Vorgaben'!C68</f>
        <v>0.1</v>
      </c>
      <c r="AC9" s="22"/>
      <c r="AD9" s="104" t="str">
        <f>'Standard Vorgaben'!$C$40</f>
        <v xml:space="preserve"> Abgang</v>
      </c>
      <c r="AE9" s="613">
        <f>AF9/B5</f>
        <v>1.1111111111111112</v>
      </c>
      <c r="AF9" s="614">
        <f>AI9*AF10</f>
        <v>1000</v>
      </c>
      <c r="AG9" s="692">
        <f>'Standard Vorgaben'!C41</f>
        <v>0</v>
      </c>
      <c r="AH9" s="198">
        <f>AF9*AG9</f>
        <v>0</v>
      </c>
      <c r="AI9" s="693">
        <f>'Standard Vorgaben'!C69</f>
        <v>0.1</v>
      </c>
      <c r="AJ9" s="22"/>
      <c r="AK9" s="104" t="str">
        <f>'Standard Vorgaben'!$C$40</f>
        <v xml:space="preserve"> Abgang</v>
      </c>
      <c r="AL9" s="613">
        <f>AM9/B5</f>
        <v>1.1111111111111112</v>
      </c>
      <c r="AM9" s="614">
        <f>AP9*AM10</f>
        <v>1000</v>
      </c>
      <c r="AN9" s="692">
        <f>'Standard Vorgaben'!C41</f>
        <v>0</v>
      </c>
      <c r="AO9" s="198">
        <f>AM9*AN9</f>
        <v>0</v>
      </c>
      <c r="AP9" s="693">
        <f>'Standard Vorgaben'!C70</f>
        <v>0.1</v>
      </c>
      <c r="AQ9" s="22"/>
      <c r="AR9" s="104" t="str">
        <f>'Standard Vorgaben'!$C$40</f>
        <v xml:space="preserve"> Abgang</v>
      </c>
      <c r="AS9" s="613">
        <f>AT9/B5</f>
        <v>1.1111111111111112</v>
      </c>
      <c r="AT9" s="614">
        <f>AW9*AT10</f>
        <v>1000</v>
      </c>
      <c r="AU9" s="692">
        <f>'Standard Vorgaben'!C41</f>
        <v>0</v>
      </c>
      <c r="AV9" s="198">
        <f>AT9*AU9</f>
        <v>0</v>
      </c>
      <c r="AW9" s="693">
        <f>'Standard Vorgaben'!C71</f>
        <v>0.1</v>
      </c>
      <c r="AX9" s="22"/>
      <c r="AY9" s="104" t="str">
        <f>'Standard Vorgaben'!$C$40</f>
        <v xml:space="preserve"> Abgang</v>
      </c>
      <c r="AZ9" s="613">
        <f>BA9/B5</f>
        <v>1.1111111111111112</v>
      </c>
      <c r="BA9" s="614">
        <f>BD9*BA10</f>
        <v>1000</v>
      </c>
      <c r="BB9" s="692">
        <f>'Standard Vorgaben'!C41</f>
        <v>0</v>
      </c>
      <c r="BC9" s="198">
        <f>BA9*BB9</f>
        <v>0</v>
      </c>
      <c r="BD9" s="693">
        <f>'Standard Vorgaben'!C72</f>
        <v>0.1</v>
      </c>
      <c r="BE9" s="22"/>
      <c r="BF9" s="104" t="str">
        <f>'Standard Vorgaben'!$C$40</f>
        <v xml:space="preserve"> Abgang</v>
      </c>
      <c r="BG9" s="613">
        <f>BH9/B5</f>
        <v>1.1111111111111112</v>
      </c>
      <c r="BH9" s="614">
        <f>BK9*BH10</f>
        <v>1000</v>
      </c>
      <c r="BI9" s="692">
        <f>'Standard Vorgaben'!C41</f>
        <v>0</v>
      </c>
      <c r="BJ9" s="198">
        <f>BH9*BI9</f>
        <v>0</v>
      </c>
      <c r="BK9" s="693">
        <f>'Standard Vorgaben'!C73</f>
        <v>0.1</v>
      </c>
      <c r="BL9" s="22"/>
      <c r="BM9" s="104" t="str">
        <f>'Standard Vorgaben'!$C$40</f>
        <v xml:space="preserve"> Abgang</v>
      </c>
      <c r="BN9" s="613">
        <f>BO9/B5</f>
        <v>1.1111111111111112</v>
      </c>
      <c r="BO9" s="614">
        <f>BR9*BO10</f>
        <v>1000</v>
      </c>
      <c r="BP9" s="692">
        <f>'Standard Vorgaben'!C41</f>
        <v>0</v>
      </c>
      <c r="BQ9" s="198">
        <f>BO9*BP9</f>
        <v>0</v>
      </c>
      <c r="BR9" s="693">
        <f>'Standard Vorgaben'!C74</f>
        <v>0.1</v>
      </c>
      <c r="BS9" s="22"/>
      <c r="BT9" s="104" t="str">
        <f>'Standard Vorgaben'!$C$40</f>
        <v xml:space="preserve"> Abgang</v>
      </c>
      <c r="BU9" s="613">
        <f>BV9/B5</f>
        <v>1.1111111111111112</v>
      </c>
      <c r="BV9" s="614">
        <f>BY9*BV10</f>
        <v>1000</v>
      </c>
      <c r="BW9" s="692">
        <f>'Standard Vorgaben'!C41</f>
        <v>0</v>
      </c>
      <c r="BX9" s="198">
        <f>BV9*BW9</f>
        <v>0</v>
      </c>
      <c r="BY9" s="693">
        <f>'Standard Vorgaben'!C75</f>
        <v>0.1</v>
      </c>
      <c r="BZ9" s="22"/>
      <c r="CA9" s="104" t="str">
        <f>'Standard Vorgaben'!$C$40</f>
        <v xml:space="preserve"> Abgang</v>
      </c>
      <c r="CB9" s="613">
        <f>CC9/B5</f>
        <v>1.1111111111111112</v>
      </c>
      <c r="CC9" s="614">
        <f>CF9*CC10</f>
        <v>1000</v>
      </c>
      <c r="CD9" s="692">
        <f>'Standard Vorgaben'!C41</f>
        <v>0</v>
      </c>
      <c r="CE9" s="198">
        <f>CC9*CD9</f>
        <v>0</v>
      </c>
      <c r="CF9" s="693">
        <f>'Standard Vorgaben'!C76</f>
        <v>0.1</v>
      </c>
      <c r="CG9" s="22"/>
      <c r="CH9" s="104" t="str">
        <f>'Standard Vorgaben'!$C$40</f>
        <v xml:space="preserve"> Abgang</v>
      </c>
      <c r="CI9" s="613">
        <f>CJ9/B5</f>
        <v>1.1111111111111112</v>
      </c>
      <c r="CJ9" s="614">
        <f>CM9*CJ10</f>
        <v>1000</v>
      </c>
      <c r="CK9" s="692">
        <f>'Standard Vorgaben'!C41</f>
        <v>0</v>
      </c>
      <c r="CL9" s="198">
        <f>CJ9*CK9</f>
        <v>0</v>
      </c>
      <c r="CM9" s="693">
        <f>'Standard Vorgaben'!C77</f>
        <v>0.1</v>
      </c>
      <c r="CN9" s="22"/>
      <c r="CO9" s="104" t="str">
        <f>'Standard Vorgaben'!$C$40</f>
        <v xml:space="preserve"> Abgang</v>
      </c>
      <c r="CP9" s="613">
        <f>CQ9/B5</f>
        <v>1.1111111111111112</v>
      </c>
      <c r="CQ9" s="614">
        <f>CT9*CQ10</f>
        <v>1000</v>
      </c>
      <c r="CR9" s="692">
        <f>'Standard Vorgaben'!C41</f>
        <v>0</v>
      </c>
      <c r="CS9" s="198">
        <f>CQ9*CR9</f>
        <v>0</v>
      </c>
      <c r="CT9" s="693">
        <f>'Standard Vorgaben'!C78</f>
        <v>0.1</v>
      </c>
      <c r="CU9" s="22"/>
      <c r="CV9" s="104" t="str">
        <f>'Standard Vorgaben'!$C$40</f>
        <v xml:space="preserve"> Abgang</v>
      </c>
      <c r="CW9" s="613">
        <f>CX9/B5</f>
        <v>1.1111111111111112</v>
      </c>
      <c r="CX9" s="614">
        <f>DA9*CX10</f>
        <v>1000</v>
      </c>
      <c r="CY9" s="692">
        <f>'Standard Vorgaben'!C41</f>
        <v>0</v>
      </c>
      <c r="CZ9" s="198">
        <f>CX9*CY9</f>
        <v>0</v>
      </c>
      <c r="DA9" s="693">
        <f>'Standard Vorgaben'!C79</f>
        <v>0.1</v>
      </c>
      <c r="DB9" s="22"/>
      <c r="DC9" s="104" t="str">
        <f>'Standard Vorgaben'!$C$40</f>
        <v xml:space="preserve"> Abgang</v>
      </c>
      <c r="DD9" s="613">
        <f>DE9/B5</f>
        <v>1.1111111111111112</v>
      </c>
      <c r="DE9" s="614">
        <f>DH9*DE10</f>
        <v>1000</v>
      </c>
      <c r="DF9" s="692">
        <f>'Standard Vorgaben'!C41</f>
        <v>0</v>
      </c>
      <c r="DG9" s="198">
        <f>DE9*DF9</f>
        <v>0</v>
      </c>
      <c r="DH9" s="693">
        <f>'Standard Vorgaben'!C80</f>
        <v>0.1</v>
      </c>
    </row>
    <row r="10" spans="1:112" x14ac:dyDescent="0.2">
      <c r="A10" s="51"/>
      <c r="B10" s="52"/>
      <c r="C10" s="86">
        <f>SUM(C8:C9)</f>
        <v>0</v>
      </c>
      <c r="D10" s="411">
        <f>'Standard Vorgaben'!D41</f>
        <v>0</v>
      </c>
      <c r="E10" s="88">
        <f>(E8*G8)+(E9*G9)</f>
        <v>7.38</v>
      </c>
      <c r="F10" s="115">
        <f>SUM(F8:F9)</f>
        <v>0</v>
      </c>
      <c r="G10" s="89">
        <f>SUM(G8:G9)</f>
        <v>1</v>
      </c>
      <c r="H10" s="51"/>
      <c r="I10" s="52"/>
      <c r="J10" s="86">
        <f>SUM(J8:J9)</f>
        <v>0</v>
      </c>
      <c r="K10" s="411">
        <f>'Standard Vorgaben'!D42</f>
        <v>0</v>
      </c>
      <c r="L10" s="88">
        <f>(L8*N8)+(L9*N9)</f>
        <v>7.38</v>
      </c>
      <c r="M10" s="115">
        <f>SUM(M8:M9)</f>
        <v>0</v>
      </c>
      <c r="N10" s="89">
        <f>SUM(N8:N9)</f>
        <v>1</v>
      </c>
      <c r="O10" s="51"/>
      <c r="P10" s="52"/>
      <c r="Q10" s="86">
        <f>SUM(Q8:Q9)</f>
        <v>1.2166666666666666</v>
      </c>
      <c r="R10" s="411">
        <f>'Standard Vorgaben'!D43</f>
        <v>1095</v>
      </c>
      <c r="S10" s="88">
        <f>(S8*U8)+(S9*U9)</f>
        <v>7.38</v>
      </c>
      <c r="T10" s="196">
        <f>SUM(T8:T9)</f>
        <v>8081.0999999999995</v>
      </c>
      <c r="U10" s="89">
        <f>SUM(U8:U9)</f>
        <v>1</v>
      </c>
      <c r="V10" s="51"/>
      <c r="W10" s="52"/>
      <c r="X10" s="86">
        <f>SUM(X8:X9)</f>
        <v>4.0555555555555554</v>
      </c>
      <c r="Y10" s="411">
        <f>'Standard Vorgaben'!D44</f>
        <v>3650</v>
      </c>
      <c r="Z10" s="88">
        <f>(Z8*AB8)+(Z9*AB9)</f>
        <v>7.38</v>
      </c>
      <c r="AA10" s="115">
        <f>SUM(AA8:AA9)</f>
        <v>26936.999999999996</v>
      </c>
      <c r="AB10" s="89">
        <f>SUM(AB8:AB9)</f>
        <v>1</v>
      </c>
      <c r="AC10" s="51"/>
      <c r="AD10" s="52"/>
      <c r="AE10" s="86">
        <f>SUM(AE8:AE9)</f>
        <v>11.111111111111111</v>
      </c>
      <c r="AF10" s="411">
        <f>'Standard Vorgaben'!D45</f>
        <v>10000</v>
      </c>
      <c r="AG10" s="88">
        <f>(AG8*AI8)+(AG9*AI9)</f>
        <v>7.38</v>
      </c>
      <c r="AH10" s="115">
        <f>SUM(AH8:AH9)</f>
        <v>73800</v>
      </c>
      <c r="AI10" s="89">
        <f>SUM(AI8:AI9)</f>
        <v>1</v>
      </c>
      <c r="AJ10" s="51"/>
      <c r="AK10" s="52"/>
      <c r="AL10" s="86">
        <f>SUM(AL8:AL9)</f>
        <v>11.111111111111111</v>
      </c>
      <c r="AM10" s="411">
        <f>'Standard Vorgaben'!D46</f>
        <v>10000</v>
      </c>
      <c r="AN10" s="88">
        <f>(AN8*AP8)+(AN9*AP9)</f>
        <v>7.38</v>
      </c>
      <c r="AO10" s="115">
        <f>SUM(AO8:AO9)</f>
        <v>73800</v>
      </c>
      <c r="AP10" s="89">
        <f>SUM(AP8:AP9)</f>
        <v>1</v>
      </c>
      <c r="AQ10" s="51"/>
      <c r="AR10" s="52"/>
      <c r="AS10" s="86">
        <f>SUM(AS8:AS9)</f>
        <v>11.111111111111111</v>
      </c>
      <c r="AT10" s="411">
        <f>'Standard Vorgaben'!D47</f>
        <v>10000</v>
      </c>
      <c r="AU10" s="88">
        <f>(AU8*AW8)+(AU9*AW9)</f>
        <v>7.38</v>
      </c>
      <c r="AV10" s="115">
        <f>SUM(AV8:AV9)</f>
        <v>73800</v>
      </c>
      <c r="AW10" s="89">
        <f>SUM(AW8:AW9)</f>
        <v>1</v>
      </c>
      <c r="AX10" s="51"/>
      <c r="AY10" s="52"/>
      <c r="AZ10" s="86">
        <f>SUM(AZ8:AZ9)</f>
        <v>11.111111111111111</v>
      </c>
      <c r="BA10" s="411">
        <f>'Standard Vorgaben'!D48</f>
        <v>10000</v>
      </c>
      <c r="BB10" s="88">
        <f>(BB8*BD8)+(BB9*BD9)</f>
        <v>7.38</v>
      </c>
      <c r="BC10" s="115">
        <f>SUM(BC8:BC9)</f>
        <v>73800</v>
      </c>
      <c r="BD10" s="89">
        <f>SUM(BD8:BD9)</f>
        <v>1</v>
      </c>
      <c r="BE10" s="51"/>
      <c r="BF10" s="52"/>
      <c r="BG10" s="86">
        <f>SUM(BG8:BG9)</f>
        <v>11.111111111111111</v>
      </c>
      <c r="BH10" s="411">
        <f>'Standard Vorgaben'!D49</f>
        <v>10000</v>
      </c>
      <c r="BI10" s="88">
        <f>(BI8*BK8)+(BI9*BK9)</f>
        <v>7.38</v>
      </c>
      <c r="BJ10" s="115">
        <f>SUM(BJ8:BJ9)</f>
        <v>73800</v>
      </c>
      <c r="BK10" s="89">
        <f>SUM(BK8:BK9)</f>
        <v>1</v>
      </c>
      <c r="BL10" s="51"/>
      <c r="BM10" s="52"/>
      <c r="BN10" s="86">
        <f>SUM(BN8:BN9)</f>
        <v>11.111111111111111</v>
      </c>
      <c r="BO10" s="411">
        <f>'Standard Vorgaben'!D50</f>
        <v>10000</v>
      </c>
      <c r="BP10" s="88">
        <f>(BP8*BR8)+(BP9*BR9)</f>
        <v>7.38</v>
      </c>
      <c r="BQ10" s="115">
        <f>SUM(BQ8:BQ9)</f>
        <v>73800</v>
      </c>
      <c r="BR10" s="89">
        <f>SUM(BR8:BR9)</f>
        <v>1</v>
      </c>
      <c r="BS10" s="51"/>
      <c r="BT10" s="52"/>
      <c r="BU10" s="86">
        <f>SUM(BU8:BU9)</f>
        <v>11.111111111111111</v>
      </c>
      <c r="BV10" s="411">
        <f>'Standard Vorgaben'!D51</f>
        <v>10000</v>
      </c>
      <c r="BW10" s="88">
        <f>(BW8*BY8)+(BW9*BY9)</f>
        <v>7.38</v>
      </c>
      <c r="BX10" s="115">
        <f>SUM(BX8:BX9)</f>
        <v>73800</v>
      </c>
      <c r="BY10" s="89">
        <f>SUM(BY8:BY9)</f>
        <v>1</v>
      </c>
      <c r="BZ10" s="51"/>
      <c r="CA10" s="52"/>
      <c r="CB10" s="86">
        <f>SUM(CB8:CB9)</f>
        <v>11.111111111111111</v>
      </c>
      <c r="CC10" s="411">
        <f>'Standard Vorgaben'!D52</f>
        <v>10000</v>
      </c>
      <c r="CD10" s="88">
        <f>(CD8*CF8)+(CD9*CF9)</f>
        <v>7.38</v>
      </c>
      <c r="CE10" s="115">
        <f>SUM(CE8:CE9)</f>
        <v>73800</v>
      </c>
      <c r="CF10" s="89">
        <f>SUM(CF8:CF9)</f>
        <v>1</v>
      </c>
      <c r="CG10" s="51"/>
      <c r="CH10" s="52"/>
      <c r="CI10" s="86">
        <f>SUM(CI8:CI9)</f>
        <v>11.111111111111111</v>
      </c>
      <c r="CJ10" s="411">
        <f>'Standard Vorgaben'!D53</f>
        <v>10000</v>
      </c>
      <c r="CK10" s="88">
        <f>(CK8*CM8)+(CK9*CM9)</f>
        <v>7.38</v>
      </c>
      <c r="CL10" s="115">
        <f>SUM(CL8:CL9)</f>
        <v>73800</v>
      </c>
      <c r="CM10" s="89">
        <f>SUM(CM8:CM9)</f>
        <v>1</v>
      </c>
      <c r="CN10" s="51"/>
      <c r="CO10" s="52"/>
      <c r="CP10" s="86">
        <f>SUM(CP8:CP9)</f>
        <v>11.111111111111111</v>
      </c>
      <c r="CQ10" s="411">
        <f>'Standard Vorgaben'!D54</f>
        <v>10000</v>
      </c>
      <c r="CR10" s="88">
        <f>(CR8*CT8)+(CR9*CT9)</f>
        <v>7.38</v>
      </c>
      <c r="CS10" s="115">
        <f>SUM(CS8:CS9)</f>
        <v>73800</v>
      </c>
      <c r="CT10" s="89">
        <f>SUM(CT8:CT9)</f>
        <v>1</v>
      </c>
      <c r="CU10" s="51"/>
      <c r="CV10" s="52"/>
      <c r="CW10" s="86">
        <f>SUM(CW8:CW9)</f>
        <v>11.111111111111111</v>
      </c>
      <c r="CX10" s="411">
        <f>'Standard Vorgaben'!D55</f>
        <v>10000</v>
      </c>
      <c r="CY10" s="88">
        <f>(CY8*DA8)+(CY9*DA9)</f>
        <v>7.38</v>
      </c>
      <c r="CZ10" s="115">
        <f>SUM(CZ8:CZ9)</f>
        <v>73800</v>
      </c>
      <c r="DA10" s="89">
        <f>SUM(DA8:DA9)</f>
        <v>1</v>
      </c>
      <c r="DB10" s="51"/>
      <c r="DC10" s="52"/>
      <c r="DD10" s="86">
        <f>SUM(DD8:DD9)</f>
        <v>11.111111111111111</v>
      </c>
      <c r="DE10" s="411">
        <f>'Standard Vorgaben'!D56</f>
        <v>10000</v>
      </c>
      <c r="DF10" s="88">
        <f>(DF8*DH8)+(DF9*DH9)</f>
        <v>7.38</v>
      </c>
      <c r="DG10" s="115">
        <f>SUM(DG8:DG9)</f>
        <v>73800</v>
      </c>
      <c r="DH10" s="89">
        <f>SUM(DH8:DH9)</f>
        <v>1</v>
      </c>
    </row>
    <row r="11" spans="1:112" x14ac:dyDescent="0.2">
      <c r="A11" s="51"/>
      <c r="B11" s="121" t="s">
        <v>97</v>
      </c>
      <c r="C11" s="86"/>
      <c r="D11" s="87"/>
      <c r="E11" s="88"/>
      <c r="F11" s="248">
        <f>'Standard Vorgaben'!$C$34</f>
        <v>2700</v>
      </c>
      <c r="G11" s="89"/>
      <c r="H11" s="51"/>
      <c r="I11" s="121" t="s">
        <v>97</v>
      </c>
      <c r="J11" s="86"/>
      <c r="K11" s="87"/>
      <c r="L11" s="88"/>
      <c r="M11" s="248">
        <f>'Standard Vorgaben'!$C$34</f>
        <v>2700</v>
      </c>
      <c r="N11" s="89"/>
      <c r="O11" s="51"/>
      <c r="P11" s="121" t="s">
        <v>97</v>
      </c>
      <c r="Q11" s="86"/>
      <c r="R11" s="87"/>
      <c r="S11" s="88"/>
      <c r="T11" s="248">
        <f>'Standard Vorgaben'!$C$34</f>
        <v>2700</v>
      </c>
      <c r="U11" s="89"/>
      <c r="V11" s="51"/>
      <c r="W11" s="121" t="s">
        <v>97</v>
      </c>
      <c r="X11" s="86"/>
      <c r="Y11" s="87"/>
      <c r="Z11" s="88"/>
      <c r="AA11" s="248">
        <f>'Standard Vorgaben'!$C$34</f>
        <v>2700</v>
      </c>
      <c r="AB11" s="89"/>
      <c r="AC11" s="51"/>
      <c r="AD11" s="121" t="s">
        <v>97</v>
      </c>
      <c r="AE11" s="86"/>
      <c r="AF11" s="87"/>
      <c r="AG11" s="88"/>
      <c r="AH11" s="248">
        <f>'Standard Vorgaben'!$C$34</f>
        <v>2700</v>
      </c>
      <c r="AI11" s="89"/>
      <c r="AJ11" s="51"/>
      <c r="AK11" s="121" t="s">
        <v>97</v>
      </c>
      <c r="AL11" s="86"/>
      <c r="AM11" s="87"/>
      <c r="AN11" s="88"/>
      <c r="AO11" s="248">
        <f>'Standard Vorgaben'!$C$34</f>
        <v>2700</v>
      </c>
      <c r="AP11" s="89"/>
      <c r="AQ11" s="51"/>
      <c r="AR11" s="121" t="s">
        <v>97</v>
      </c>
      <c r="AS11" s="86"/>
      <c r="AT11" s="87"/>
      <c r="AU11" s="88"/>
      <c r="AV11" s="248">
        <f>'Standard Vorgaben'!$C$34</f>
        <v>2700</v>
      </c>
      <c r="AW11" s="89"/>
      <c r="AX11" s="51"/>
      <c r="AY11" s="121" t="s">
        <v>97</v>
      </c>
      <c r="AZ11" s="86"/>
      <c r="BA11" s="87"/>
      <c r="BB11" s="88"/>
      <c r="BC11" s="248">
        <f>'Standard Vorgaben'!$C$34</f>
        <v>2700</v>
      </c>
      <c r="BD11" s="89"/>
      <c r="BE11" s="51"/>
      <c r="BF11" s="121" t="s">
        <v>97</v>
      </c>
      <c r="BG11" s="86"/>
      <c r="BH11" s="87"/>
      <c r="BI11" s="88"/>
      <c r="BJ11" s="248">
        <f>'Standard Vorgaben'!$C$34</f>
        <v>2700</v>
      </c>
      <c r="BK11" s="89"/>
      <c r="BL11" s="51"/>
      <c r="BM11" s="121" t="s">
        <v>97</v>
      </c>
      <c r="BN11" s="86"/>
      <c r="BO11" s="87"/>
      <c r="BP11" s="88"/>
      <c r="BQ11" s="248">
        <f>'Standard Vorgaben'!$C$34</f>
        <v>2700</v>
      </c>
      <c r="BR11" s="89"/>
      <c r="BS11" s="51"/>
      <c r="BT11" s="121" t="s">
        <v>97</v>
      </c>
      <c r="BU11" s="86"/>
      <c r="BV11" s="87"/>
      <c r="BW11" s="88"/>
      <c r="BX11" s="248">
        <f>'Standard Vorgaben'!$C$34</f>
        <v>2700</v>
      </c>
      <c r="BY11" s="89"/>
      <c r="BZ11" s="51"/>
      <c r="CA11" s="121" t="s">
        <v>97</v>
      </c>
      <c r="CB11" s="86"/>
      <c r="CC11" s="87"/>
      <c r="CD11" s="88"/>
      <c r="CE11" s="248">
        <f>'Standard Vorgaben'!$C$34</f>
        <v>2700</v>
      </c>
      <c r="CF11" s="89"/>
      <c r="CG11" s="51"/>
      <c r="CH11" s="121" t="s">
        <v>97</v>
      </c>
      <c r="CI11" s="86"/>
      <c r="CJ11" s="87"/>
      <c r="CK11" s="88"/>
      <c r="CL11" s="248">
        <f>'Standard Vorgaben'!$C$34</f>
        <v>2700</v>
      </c>
      <c r="CM11" s="89"/>
      <c r="CN11" s="51"/>
      <c r="CO11" s="121" t="s">
        <v>97</v>
      </c>
      <c r="CP11" s="86"/>
      <c r="CQ11" s="87"/>
      <c r="CR11" s="88"/>
      <c r="CS11" s="248">
        <f>'Standard Vorgaben'!$C$34</f>
        <v>2700</v>
      </c>
      <c r="CT11" s="89"/>
      <c r="CU11" s="51"/>
      <c r="CV11" s="121" t="s">
        <v>97</v>
      </c>
      <c r="CW11" s="86"/>
      <c r="CX11" s="87"/>
      <c r="CY11" s="88"/>
      <c r="CZ11" s="248">
        <f>'Standard Vorgaben'!$C$34</f>
        <v>2700</v>
      </c>
      <c r="DA11" s="89"/>
      <c r="DB11" s="51"/>
      <c r="DC11" s="121" t="s">
        <v>97</v>
      </c>
      <c r="DD11" s="86"/>
      <c r="DE11" s="87"/>
      <c r="DF11" s="88"/>
      <c r="DG11" s="248">
        <f>'Standard Vorgaben'!$C$34</f>
        <v>2700</v>
      </c>
      <c r="DH11" s="89"/>
    </row>
    <row r="12" spans="1:112" ht="15.75" thickBot="1" x14ac:dyDescent="0.3">
      <c r="A12" s="584" t="s">
        <v>98</v>
      </c>
      <c r="B12" s="585"/>
      <c r="C12" s="585"/>
      <c r="D12" s="585"/>
      <c r="E12" s="585"/>
      <c r="F12" s="586">
        <f>SUM(F10:F11)</f>
        <v>2700</v>
      </c>
      <c r="G12" s="80"/>
      <c r="H12" s="584" t="s">
        <v>98</v>
      </c>
      <c r="I12" s="585"/>
      <c r="J12" s="585"/>
      <c r="K12" s="585"/>
      <c r="L12" s="585"/>
      <c r="M12" s="586">
        <f>SUM(M10:M11)</f>
        <v>2700</v>
      </c>
      <c r="N12" s="80"/>
      <c r="O12" s="584" t="s">
        <v>98</v>
      </c>
      <c r="P12" s="585"/>
      <c r="Q12" s="585"/>
      <c r="R12" s="585"/>
      <c r="S12" s="585"/>
      <c r="T12" s="586">
        <f>SUM(T10:T11)</f>
        <v>10781.099999999999</v>
      </c>
      <c r="U12" s="80"/>
      <c r="V12" s="584" t="s">
        <v>98</v>
      </c>
      <c r="W12" s="585"/>
      <c r="X12" s="585"/>
      <c r="Y12" s="585"/>
      <c r="Z12" s="585"/>
      <c r="AA12" s="586">
        <f>SUM(AA10:AA11)</f>
        <v>29636.999999999996</v>
      </c>
      <c r="AB12" s="80"/>
      <c r="AC12" s="584" t="s">
        <v>98</v>
      </c>
      <c r="AD12" s="585"/>
      <c r="AE12" s="585"/>
      <c r="AF12" s="585"/>
      <c r="AG12" s="585"/>
      <c r="AH12" s="586">
        <f>SUM(AH10:AH11)</f>
        <v>76500</v>
      </c>
      <c r="AI12" s="80"/>
      <c r="AJ12" s="584" t="s">
        <v>98</v>
      </c>
      <c r="AK12" s="585"/>
      <c r="AL12" s="585"/>
      <c r="AM12" s="585"/>
      <c r="AN12" s="585"/>
      <c r="AO12" s="586">
        <f>SUM(AO10:AO11)</f>
        <v>76500</v>
      </c>
      <c r="AP12" s="80"/>
      <c r="AQ12" s="584" t="s">
        <v>98</v>
      </c>
      <c r="AR12" s="585"/>
      <c r="AS12" s="585"/>
      <c r="AT12" s="585"/>
      <c r="AU12" s="585"/>
      <c r="AV12" s="586">
        <f>SUM(AV10:AV11)</f>
        <v>76500</v>
      </c>
      <c r="AW12" s="80"/>
      <c r="AX12" s="584" t="s">
        <v>98</v>
      </c>
      <c r="AY12" s="585"/>
      <c r="AZ12" s="585"/>
      <c r="BA12" s="585"/>
      <c r="BB12" s="585"/>
      <c r="BC12" s="586">
        <f>SUM(BC10:BC11)</f>
        <v>76500</v>
      </c>
      <c r="BD12" s="80"/>
      <c r="BE12" s="584" t="s">
        <v>98</v>
      </c>
      <c r="BF12" s="585"/>
      <c r="BG12" s="585"/>
      <c r="BH12" s="585"/>
      <c r="BI12" s="585"/>
      <c r="BJ12" s="586">
        <f>SUM(BJ10:BJ11)</f>
        <v>76500</v>
      </c>
      <c r="BK12" s="80"/>
      <c r="BL12" s="584" t="s">
        <v>98</v>
      </c>
      <c r="BM12" s="585"/>
      <c r="BN12" s="585"/>
      <c r="BO12" s="585"/>
      <c r="BP12" s="585"/>
      <c r="BQ12" s="586">
        <f>SUM(BQ10:BQ11)</f>
        <v>76500</v>
      </c>
      <c r="BR12" s="80"/>
      <c r="BS12" s="584" t="s">
        <v>98</v>
      </c>
      <c r="BT12" s="585"/>
      <c r="BU12" s="585"/>
      <c r="BV12" s="585"/>
      <c r="BW12" s="585"/>
      <c r="BX12" s="586">
        <f>SUM(BX10:BX11)</f>
        <v>76500</v>
      </c>
      <c r="BY12" s="80"/>
      <c r="BZ12" s="584" t="s">
        <v>98</v>
      </c>
      <c r="CA12" s="585"/>
      <c r="CB12" s="585"/>
      <c r="CC12" s="585"/>
      <c r="CD12" s="585"/>
      <c r="CE12" s="586">
        <f>SUM(CE10:CE11)</f>
        <v>76500</v>
      </c>
      <c r="CF12" s="80"/>
      <c r="CG12" s="584" t="s">
        <v>98</v>
      </c>
      <c r="CH12" s="585"/>
      <c r="CI12" s="585"/>
      <c r="CJ12" s="585"/>
      <c r="CK12" s="585"/>
      <c r="CL12" s="586">
        <f>SUM(CL10:CL11)</f>
        <v>76500</v>
      </c>
      <c r="CM12" s="80"/>
      <c r="CN12" s="584" t="s">
        <v>98</v>
      </c>
      <c r="CO12" s="585"/>
      <c r="CP12" s="585"/>
      <c r="CQ12" s="585"/>
      <c r="CR12" s="585"/>
      <c r="CS12" s="586">
        <f>SUM(CS10:CS11)</f>
        <v>76500</v>
      </c>
      <c r="CT12" s="80"/>
      <c r="CU12" s="584" t="s">
        <v>98</v>
      </c>
      <c r="CV12" s="585"/>
      <c r="CW12" s="585"/>
      <c r="CX12" s="585"/>
      <c r="CY12" s="585"/>
      <c r="CZ12" s="586">
        <f>SUM(CZ10:CZ11)</f>
        <v>76500</v>
      </c>
      <c r="DA12" s="80"/>
      <c r="DB12" s="584" t="s">
        <v>98</v>
      </c>
      <c r="DC12" s="585"/>
      <c r="DD12" s="585"/>
      <c r="DE12" s="585"/>
      <c r="DF12" s="585"/>
      <c r="DG12" s="586">
        <f>SUM(DG10:DG11)</f>
        <v>76500</v>
      </c>
      <c r="DH12" s="80"/>
    </row>
    <row r="13" spans="1:112" x14ac:dyDescent="0.2">
      <c r="A13" s="4"/>
      <c r="B13" s="4"/>
      <c r="C13" s="34" t="s">
        <v>18</v>
      </c>
      <c r="D13" s="34" t="s">
        <v>59</v>
      </c>
      <c r="E13" s="35" t="s">
        <v>60</v>
      </c>
      <c r="F13" s="41" t="s">
        <v>20</v>
      </c>
      <c r="G13" s="37" t="s">
        <v>62</v>
      </c>
      <c r="H13" s="4"/>
      <c r="I13" s="4"/>
      <c r="J13" s="34" t="s">
        <v>18</v>
      </c>
      <c r="K13" s="34" t="s">
        <v>59</v>
      </c>
      <c r="L13" s="35" t="s">
        <v>60</v>
      </c>
      <c r="M13" s="41" t="s">
        <v>20</v>
      </c>
      <c r="N13" s="37" t="s">
        <v>62</v>
      </c>
      <c r="O13" s="4"/>
      <c r="P13" s="4"/>
      <c r="Q13" s="34" t="s">
        <v>18</v>
      </c>
      <c r="R13" s="34" t="s">
        <v>59</v>
      </c>
      <c r="S13" s="35" t="s">
        <v>60</v>
      </c>
      <c r="T13" s="41" t="s">
        <v>20</v>
      </c>
      <c r="U13" s="37" t="s">
        <v>62</v>
      </c>
      <c r="V13" s="4"/>
      <c r="W13" s="4"/>
      <c r="X13" s="34" t="s">
        <v>18</v>
      </c>
      <c r="Y13" s="34" t="s">
        <v>59</v>
      </c>
      <c r="Z13" s="35" t="s">
        <v>60</v>
      </c>
      <c r="AA13" s="41" t="s">
        <v>20</v>
      </c>
      <c r="AB13" s="37" t="s">
        <v>62</v>
      </c>
      <c r="AC13" s="4"/>
      <c r="AD13" s="4"/>
      <c r="AE13" s="34" t="s">
        <v>18</v>
      </c>
      <c r="AF13" s="34" t="s">
        <v>59</v>
      </c>
      <c r="AG13" s="35" t="s">
        <v>60</v>
      </c>
      <c r="AH13" s="41" t="s">
        <v>20</v>
      </c>
      <c r="AI13" s="37" t="s">
        <v>62</v>
      </c>
      <c r="AJ13" s="4"/>
      <c r="AK13" s="4"/>
      <c r="AL13" s="34" t="s">
        <v>18</v>
      </c>
      <c r="AM13" s="34" t="s">
        <v>59</v>
      </c>
      <c r="AN13" s="35" t="s">
        <v>60</v>
      </c>
      <c r="AO13" s="41" t="s">
        <v>20</v>
      </c>
      <c r="AP13" s="37" t="s">
        <v>62</v>
      </c>
      <c r="AQ13" s="4"/>
      <c r="AR13" s="4"/>
      <c r="AS13" s="34" t="s">
        <v>18</v>
      </c>
      <c r="AT13" s="34" t="s">
        <v>59</v>
      </c>
      <c r="AU13" s="35" t="s">
        <v>60</v>
      </c>
      <c r="AV13" s="41" t="s">
        <v>20</v>
      </c>
      <c r="AW13" s="37" t="s">
        <v>62</v>
      </c>
      <c r="AX13" s="4"/>
      <c r="AY13" s="4"/>
      <c r="AZ13" s="34" t="s">
        <v>18</v>
      </c>
      <c r="BA13" s="34" t="s">
        <v>59</v>
      </c>
      <c r="BB13" s="35" t="s">
        <v>60</v>
      </c>
      <c r="BC13" s="41" t="s">
        <v>20</v>
      </c>
      <c r="BD13" s="37" t="s">
        <v>62</v>
      </c>
      <c r="BE13" s="4"/>
      <c r="BF13" s="4"/>
      <c r="BG13" s="34" t="s">
        <v>18</v>
      </c>
      <c r="BH13" s="34" t="s">
        <v>59</v>
      </c>
      <c r="BI13" s="35" t="s">
        <v>60</v>
      </c>
      <c r="BJ13" s="41" t="s">
        <v>20</v>
      </c>
      <c r="BK13" s="37" t="s">
        <v>62</v>
      </c>
      <c r="BL13" s="4"/>
      <c r="BM13" s="4"/>
      <c r="BN13" s="34" t="s">
        <v>18</v>
      </c>
      <c r="BO13" s="34" t="s">
        <v>59</v>
      </c>
      <c r="BP13" s="35" t="s">
        <v>60</v>
      </c>
      <c r="BQ13" s="41" t="s">
        <v>20</v>
      </c>
      <c r="BR13" s="37" t="s">
        <v>62</v>
      </c>
      <c r="BS13" s="4"/>
      <c r="BT13" s="4"/>
      <c r="BU13" s="34" t="s">
        <v>18</v>
      </c>
      <c r="BV13" s="34" t="s">
        <v>59</v>
      </c>
      <c r="BW13" s="35" t="s">
        <v>60</v>
      </c>
      <c r="BX13" s="41" t="s">
        <v>20</v>
      </c>
      <c r="BY13" s="37" t="s">
        <v>62</v>
      </c>
      <c r="BZ13" s="4"/>
      <c r="CA13" s="4"/>
      <c r="CB13" s="34" t="s">
        <v>18</v>
      </c>
      <c r="CC13" s="34" t="s">
        <v>59</v>
      </c>
      <c r="CD13" s="35" t="s">
        <v>60</v>
      </c>
      <c r="CE13" s="41" t="s">
        <v>20</v>
      </c>
      <c r="CF13" s="37" t="s">
        <v>62</v>
      </c>
      <c r="CG13" s="4"/>
      <c r="CH13" s="4"/>
      <c r="CI13" s="34" t="s">
        <v>18</v>
      </c>
      <c r="CJ13" s="34" t="s">
        <v>59</v>
      </c>
      <c r="CK13" s="35" t="s">
        <v>60</v>
      </c>
      <c r="CL13" s="41" t="s">
        <v>20</v>
      </c>
      <c r="CM13" s="37" t="s">
        <v>62</v>
      </c>
      <c r="CN13" s="4"/>
      <c r="CO13" s="4"/>
      <c r="CP13" s="34" t="s">
        <v>18</v>
      </c>
      <c r="CQ13" s="34" t="s">
        <v>59</v>
      </c>
      <c r="CR13" s="35" t="s">
        <v>60</v>
      </c>
      <c r="CS13" s="41" t="s">
        <v>20</v>
      </c>
      <c r="CT13" s="37" t="s">
        <v>62</v>
      </c>
      <c r="CU13" s="4"/>
      <c r="CV13" s="4"/>
      <c r="CW13" s="34" t="s">
        <v>18</v>
      </c>
      <c r="CX13" s="34" t="s">
        <v>59</v>
      </c>
      <c r="CY13" s="35" t="s">
        <v>60</v>
      </c>
      <c r="CZ13" s="41" t="s">
        <v>20</v>
      </c>
      <c r="DA13" s="37" t="s">
        <v>62</v>
      </c>
      <c r="DB13" s="4"/>
      <c r="DC13" s="4"/>
      <c r="DD13" s="34" t="s">
        <v>18</v>
      </c>
      <c r="DE13" s="34" t="s">
        <v>59</v>
      </c>
      <c r="DF13" s="35" t="s">
        <v>60</v>
      </c>
      <c r="DG13" s="41" t="s">
        <v>20</v>
      </c>
      <c r="DH13" s="37" t="s">
        <v>62</v>
      </c>
    </row>
    <row r="14" spans="1:112" x14ac:dyDescent="0.2">
      <c r="A14" s="3" t="s">
        <v>33</v>
      </c>
      <c r="B14" s="20" t="str">
        <f>'Standard Vorgaben'!B95</f>
        <v>Biorga N (12 %)</v>
      </c>
      <c r="C14" s="149">
        <f>'Standard Vorgaben'!B99</f>
        <v>1</v>
      </c>
      <c r="D14" s="19">
        <f>'Standard Vorgaben'!B98</f>
        <v>125</v>
      </c>
      <c r="E14" s="30">
        <f>'Standard Vorgaben'!B96</f>
        <v>1.22</v>
      </c>
      <c r="F14" s="31">
        <f>D14*E14</f>
        <v>152.5</v>
      </c>
      <c r="G14" s="42">
        <f>F14/$F$73</f>
        <v>1.2635106716206736E-2</v>
      </c>
      <c r="H14" s="3" t="s">
        <v>33</v>
      </c>
      <c r="I14" s="20" t="str">
        <f>'Standard Vorgaben'!B95</f>
        <v>Biorga N (12 %)</v>
      </c>
      <c r="J14" s="149">
        <f>'Standard Vorgaben'!B101</f>
        <v>1</v>
      </c>
      <c r="K14" s="19">
        <f>'Standard Vorgaben'!B100</f>
        <v>250</v>
      </c>
      <c r="L14" s="30">
        <f>'Standard Vorgaben'!B96</f>
        <v>1.22</v>
      </c>
      <c r="M14" s="31">
        <f>K14*L14</f>
        <v>305</v>
      </c>
      <c r="N14" s="42">
        <f>M14/$M$73</f>
        <v>2.4997189299328492E-2</v>
      </c>
      <c r="O14" s="3" t="s">
        <v>33</v>
      </c>
      <c r="P14" s="20" t="str">
        <f>'Standard Vorgaben'!B95</f>
        <v>Biorga N (12 %)</v>
      </c>
      <c r="Q14" s="149">
        <f>'Standard Vorgaben'!B103</f>
        <v>1</v>
      </c>
      <c r="R14" s="19">
        <f>'Standard Vorgaben'!B102</f>
        <v>375</v>
      </c>
      <c r="S14" s="30">
        <f>'Standard Vorgaben'!B96</f>
        <v>1.22</v>
      </c>
      <c r="T14" s="31">
        <f>R14*S14</f>
        <v>457.5</v>
      </c>
      <c r="U14" s="42">
        <f>T14/$T$73</f>
        <v>5.3411362461369344E-3</v>
      </c>
      <c r="V14" s="3" t="s">
        <v>33</v>
      </c>
      <c r="W14" s="20" t="str">
        <f>'Standard Vorgaben'!B95</f>
        <v>Biorga N (12 %)</v>
      </c>
      <c r="X14" s="149">
        <f>'Standard Vorgaben'!B105</f>
        <v>1</v>
      </c>
      <c r="Y14" s="19">
        <f>'Standard Vorgaben'!B104</f>
        <v>375</v>
      </c>
      <c r="Z14" s="30">
        <f>'Standard Vorgaben'!B96</f>
        <v>1.22</v>
      </c>
      <c r="AA14" s="31">
        <f>Y14*Z14</f>
        <v>457.5</v>
      </c>
      <c r="AB14" s="42">
        <f>AA14/$AA$73</f>
        <v>1.3605194608968547E-2</v>
      </c>
      <c r="AC14" s="3" t="s">
        <v>33</v>
      </c>
      <c r="AD14" s="20" t="str">
        <f>'Standard Vorgaben'!$B$95</f>
        <v>Biorga N (12 %)</v>
      </c>
      <c r="AE14" s="149">
        <f>'Standard Vorgaben'!$B$107</f>
        <v>1</v>
      </c>
      <c r="AF14" s="19">
        <f>'Standard Vorgaben'!$B$106</f>
        <v>500</v>
      </c>
      <c r="AG14" s="30">
        <f>'Standard Vorgaben'!$B$96</f>
        <v>1.22</v>
      </c>
      <c r="AH14" s="31">
        <f>AF14*AG14</f>
        <v>610</v>
      </c>
      <c r="AI14" s="42">
        <f>AH14/$AH$73</f>
        <v>1.1102566425858891E-2</v>
      </c>
      <c r="AJ14" s="3" t="s">
        <v>33</v>
      </c>
      <c r="AK14" s="20" t="str">
        <f>'Standard Vorgaben'!$B$95</f>
        <v>Biorga N (12 %)</v>
      </c>
      <c r="AL14" s="68">
        <f>'Standard Vorgaben'!$B$107</f>
        <v>1</v>
      </c>
      <c r="AM14" s="1259">
        <f>'Standard Vorgaben'!$B$106</f>
        <v>500</v>
      </c>
      <c r="AN14" s="1260">
        <f>'Standard Vorgaben'!$B$96</f>
        <v>1.22</v>
      </c>
      <c r="AO14" s="1261">
        <f>AM14*AN14</f>
        <v>610</v>
      </c>
      <c r="AP14" s="42">
        <f>AO14/$AO$73</f>
        <v>1.0849689141454498E-2</v>
      </c>
      <c r="AQ14" s="3" t="s">
        <v>33</v>
      </c>
      <c r="AR14" s="20" t="str">
        <f>'Standard Vorgaben'!$B$95</f>
        <v>Biorga N (12 %)</v>
      </c>
      <c r="AS14" s="149">
        <f>'Standard Vorgaben'!$B$107</f>
        <v>1</v>
      </c>
      <c r="AT14" s="19">
        <f>'Standard Vorgaben'!$B$106</f>
        <v>500</v>
      </c>
      <c r="AU14" s="30">
        <f>'Standard Vorgaben'!$B$96</f>
        <v>1.22</v>
      </c>
      <c r="AV14" s="31">
        <f>AT14*AU14</f>
        <v>610</v>
      </c>
      <c r="AW14" s="42">
        <f>AV14/$AV$73</f>
        <v>1.117917634504504E-2</v>
      </c>
      <c r="AX14" s="3" t="s">
        <v>33</v>
      </c>
      <c r="AY14" s="20" t="str">
        <f>'Standard Vorgaben'!$B$95</f>
        <v>Biorga N (12 %)</v>
      </c>
      <c r="AZ14" s="149">
        <f>'Standard Vorgaben'!$B$107</f>
        <v>1</v>
      </c>
      <c r="BA14" s="19">
        <f>'Standard Vorgaben'!$B$106</f>
        <v>500</v>
      </c>
      <c r="BB14" s="30">
        <f>'Standard Vorgaben'!$B$96</f>
        <v>1.22</v>
      </c>
      <c r="BC14" s="31">
        <f>BA14*BB14</f>
        <v>610</v>
      </c>
      <c r="BD14" s="42">
        <f>BC14/$BC$73</f>
        <v>1.1219767309593162E-2</v>
      </c>
      <c r="BE14" s="3" t="s">
        <v>33</v>
      </c>
      <c r="BF14" s="20" t="str">
        <f>'Standard Vorgaben'!$B$95</f>
        <v>Biorga N (12 %)</v>
      </c>
      <c r="BG14" s="149">
        <f>'Standard Vorgaben'!$B$107</f>
        <v>1</v>
      </c>
      <c r="BH14" s="19">
        <f>'Standard Vorgaben'!$B$106</f>
        <v>500</v>
      </c>
      <c r="BI14" s="30">
        <f>'Standard Vorgaben'!$B$96</f>
        <v>1.22</v>
      </c>
      <c r="BJ14" s="31">
        <f>BH14*BI14</f>
        <v>610</v>
      </c>
      <c r="BK14" s="42">
        <f>BJ14/$BJ$73</f>
        <v>6.0809827147874484E-3</v>
      </c>
      <c r="BL14" s="3" t="s">
        <v>33</v>
      </c>
      <c r="BM14" s="20" t="str">
        <f>'Standard Vorgaben'!$B$95</f>
        <v>Biorga N (12 %)</v>
      </c>
      <c r="BN14" s="149">
        <f>'Standard Vorgaben'!$B$107</f>
        <v>1</v>
      </c>
      <c r="BO14" s="19">
        <f>'Standard Vorgaben'!$B$106</f>
        <v>500</v>
      </c>
      <c r="BP14" s="30">
        <f>'Standard Vorgaben'!$B$96</f>
        <v>1.22</v>
      </c>
      <c r="BQ14" s="31">
        <f>BO14*BP14</f>
        <v>610</v>
      </c>
      <c r="BR14" s="42">
        <f>BQ14/$BQ$73</f>
        <v>1.0345423773351211E-2</v>
      </c>
      <c r="BS14" s="3" t="s">
        <v>33</v>
      </c>
      <c r="BT14" s="20" t="str">
        <f>'Standard Vorgaben'!$B$95</f>
        <v>Biorga N (12 %)</v>
      </c>
      <c r="BU14" s="149">
        <f>'Standard Vorgaben'!$B$107</f>
        <v>1</v>
      </c>
      <c r="BV14" s="19">
        <f>'Standard Vorgaben'!$B$106</f>
        <v>500</v>
      </c>
      <c r="BW14" s="30">
        <f>'Standard Vorgaben'!$B$96</f>
        <v>1.22</v>
      </c>
      <c r="BX14" s="31">
        <f>BV14*BW14</f>
        <v>610</v>
      </c>
      <c r="BY14" s="42">
        <f>BX14/$BX$73</f>
        <v>1.1249293426422188E-2</v>
      </c>
      <c r="BZ14" s="3" t="s">
        <v>33</v>
      </c>
      <c r="CA14" s="20" t="str">
        <f>'Standard Vorgaben'!$B$95</f>
        <v>Biorga N (12 %)</v>
      </c>
      <c r="CB14" s="149">
        <f>'Standard Vorgaben'!$B$107</f>
        <v>1</v>
      </c>
      <c r="CC14" s="19">
        <f>'Standard Vorgaben'!$B$106</f>
        <v>500</v>
      </c>
      <c r="CD14" s="30">
        <f>'Standard Vorgaben'!$B$96</f>
        <v>1.22</v>
      </c>
      <c r="CE14" s="31">
        <f>CC14*CD14</f>
        <v>610</v>
      </c>
      <c r="CF14" s="42">
        <f>CE14/$CE$73</f>
        <v>1.0991043367590214E-2</v>
      </c>
      <c r="CG14" s="3" t="s">
        <v>33</v>
      </c>
      <c r="CH14" s="20" t="str">
        <f>'Standard Vorgaben'!$B$95</f>
        <v>Biorga N (12 %)</v>
      </c>
      <c r="CI14" s="149">
        <f>'Standard Vorgaben'!$B$107</f>
        <v>1</v>
      </c>
      <c r="CJ14" s="19">
        <f>'Standard Vorgaben'!$B$106</f>
        <v>500</v>
      </c>
      <c r="CK14" s="30">
        <f>'Standard Vorgaben'!$B$96</f>
        <v>1.22</v>
      </c>
      <c r="CL14" s="31">
        <f>CJ14*CK14</f>
        <v>610</v>
      </c>
      <c r="CM14" s="42">
        <f>CL14/$CL$73</f>
        <v>1.1330675197825239E-2</v>
      </c>
      <c r="CN14" s="3" t="s">
        <v>33</v>
      </c>
      <c r="CO14" s="20" t="str">
        <f>'Standard Vorgaben'!$B$95</f>
        <v>Biorga N (12 %)</v>
      </c>
      <c r="CP14" s="149">
        <f>'Standard Vorgaben'!$B$107</f>
        <v>1</v>
      </c>
      <c r="CQ14" s="19">
        <f>'Standard Vorgaben'!$B$106</f>
        <v>500</v>
      </c>
      <c r="CR14" s="30">
        <f>'Standard Vorgaben'!$B$96</f>
        <v>1.22</v>
      </c>
      <c r="CS14" s="31">
        <f>CQ14*CR14</f>
        <v>610</v>
      </c>
      <c r="CT14" s="42">
        <f>CS14/$CS$73</f>
        <v>1.1373768165587179E-2</v>
      </c>
      <c r="CU14" s="3" t="s">
        <v>33</v>
      </c>
      <c r="CV14" s="20" t="str">
        <f>'Standard Vorgaben'!$B$95</f>
        <v>Biorga N (12 %)</v>
      </c>
      <c r="CW14" s="149">
        <f>'Standard Vorgaben'!$B$107</f>
        <v>1</v>
      </c>
      <c r="CX14" s="19">
        <f>'Standard Vorgaben'!$B$106</f>
        <v>500</v>
      </c>
      <c r="CY14" s="30">
        <f>'Standard Vorgaben'!$B$96</f>
        <v>1.22</v>
      </c>
      <c r="CZ14" s="31">
        <f>CX14*CY14</f>
        <v>610</v>
      </c>
      <c r="DA14" s="42">
        <f>CZ14/$CZ$73</f>
        <v>1.11109192137662E-2</v>
      </c>
      <c r="DB14" s="3" t="s">
        <v>33</v>
      </c>
      <c r="DC14" s="20" t="str">
        <f>'Standard Vorgaben'!$B$95</f>
        <v>Biorga N (12 %)</v>
      </c>
      <c r="DD14" s="149">
        <f>'Standard Vorgaben'!$B$107</f>
        <v>1</v>
      </c>
      <c r="DE14" s="19">
        <f>'Standard Vorgaben'!$B$106</f>
        <v>500</v>
      </c>
      <c r="DF14" s="30">
        <f>'Standard Vorgaben'!$B$96</f>
        <v>1.22</v>
      </c>
      <c r="DG14" s="31">
        <f>DE14*DF14</f>
        <v>610</v>
      </c>
      <c r="DH14" s="42">
        <f>DG14/$DG$73</f>
        <v>1.0298490817714813E-2</v>
      </c>
    </row>
    <row r="15" spans="1:112" x14ac:dyDescent="0.2">
      <c r="A15" s="51"/>
      <c r="B15" s="820" t="str">
        <f>'Standard Vorgaben'!C95</f>
        <v>Mist 
(Frischsubstanz)</v>
      </c>
      <c r="C15" s="488">
        <f>'Standard Vorgaben'!C99</f>
        <v>0</v>
      </c>
      <c r="D15" s="147">
        <f>'Standard Vorgaben'!C98</f>
        <v>0</v>
      </c>
      <c r="E15" s="148">
        <f>'Standard Vorgaben'!C96</f>
        <v>0.02</v>
      </c>
      <c r="F15" s="38">
        <f>D15*E15</f>
        <v>0</v>
      </c>
      <c r="G15" s="42">
        <f>F15/$F$73</f>
        <v>0</v>
      </c>
      <c r="H15" s="51"/>
      <c r="I15" s="820" t="str">
        <f>'Standard Vorgaben'!C95</f>
        <v>Mist 
(Frischsubstanz)</v>
      </c>
      <c r="J15" s="488">
        <f>'Standard Vorgaben'!C101</f>
        <v>0</v>
      </c>
      <c r="K15" s="147">
        <f>'Standard Vorgaben'!C100</f>
        <v>0</v>
      </c>
      <c r="L15" s="148">
        <f>'Standard Vorgaben'!C96</f>
        <v>0.02</v>
      </c>
      <c r="M15" s="38">
        <f>K15*L15</f>
        <v>0</v>
      </c>
      <c r="N15" s="42">
        <f>M15/$M$73</f>
        <v>0</v>
      </c>
      <c r="O15" s="51"/>
      <c r="P15" s="820" t="str">
        <f>'Standard Vorgaben'!C95</f>
        <v>Mist 
(Frischsubstanz)</v>
      </c>
      <c r="Q15" s="488">
        <f>'Standard Vorgaben'!C103</f>
        <v>0</v>
      </c>
      <c r="R15" s="147">
        <f>'Standard Vorgaben'!C102</f>
        <v>0</v>
      </c>
      <c r="S15" s="148">
        <f>'Standard Vorgaben'!C96</f>
        <v>0.02</v>
      </c>
      <c r="T15" s="38">
        <f>R15*S15</f>
        <v>0</v>
      </c>
      <c r="U15" s="42">
        <f>T15/$T$73</f>
        <v>0</v>
      </c>
      <c r="V15" s="51"/>
      <c r="W15" s="820" t="str">
        <f>'Standard Vorgaben'!C95</f>
        <v>Mist 
(Frischsubstanz)</v>
      </c>
      <c r="X15" s="1307">
        <f>'Standard Vorgaben'!C105</f>
        <v>9.3333333333333339</v>
      </c>
      <c r="Y15" s="147">
        <f>'Standard Vorgaben'!C104</f>
        <v>13333.333333333334</v>
      </c>
      <c r="Z15" s="148">
        <f>'Standard Vorgaben'!C96</f>
        <v>0.02</v>
      </c>
      <c r="AA15" s="38">
        <f>Y15*Z15</f>
        <v>266.66666666666669</v>
      </c>
      <c r="AB15" s="42">
        <f>AA15/$AA$73</f>
        <v>7.930168078087314E-3</v>
      </c>
      <c r="AC15" s="51"/>
      <c r="AD15" s="820" t="str">
        <f>'Standard Vorgaben'!$C$95</f>
        <v>Mist 
(Frischsubstanz)</v>
      </c>
      <c r="AE15" s="488">
        <f>'Standard Vorgaben'!$C$107</f>
        <v>14</v>
      </c>
      <c r="AF15" s="147">
        <f>'Standard Vorgaben'!$C$106</f>
        <v>20000</v>
      </c>
      <c r="AG15" s="148">
        <f>'Standard Vorgaben'!$C$96</f>
        <v>0.02</v>
      </c>
      <c r="AH15" s="38">
        <f>AF15*AG15</f>
        <v>400</v>
      </c>
      <c r="AI15" s="42">
        <f>AH15/$AH$73</f>
        <v>7.2803714267927148E-3</v>
      </c>
      <c r="AJ15" s="51"/>
      <c r="AK15" s="820" t="str">
        <f>'Standard Vorgaben'!$C$95</f>
        <v>Mist 
(Frischsubstanz)</v>
      </c>
      <c r="AL15" s="150">
        <v>0</v>
      </c>
      <c r="AM15" s="1262">
        <v>0</v>
      </c>
      <c r="AN15" s="1263">
        <f>'Standard Vorgaben'!$C$96</f>
        <v>0.02</v>
      </c>
      <c r="AO15" s="1217">
        <f>AM15*AN15</f>
        <v>0</v>
      </c>
      <c r="AP15" s="42">
        <f>AO15/$AO$73</f>
        <v>0</v>
      </c>
      <c r="AQ15" s="51"/>
      <c r="AR15" s="820" t="str">
        <f>'Standard Vorgaben'!$C$95</f>
        <v>Mist 
(Frischsubstanz)</v>
      </c>
      <c r="AS15" s="488">
        <f>'Standard Vorgaben'!$C$107</f>
        <v>14</v>
      </c>
      <c r="AT15" s="147">
        <f>'Standard Vorgaben'!$C$106</f>
        <v>20000</v>
      </c>
      <c r="AU15" s="148">
        <f>'Standard Vorgaben'!$C$96</f>
        <v>0.02</v>
      </c>
      <c r="AV15" s="38">
        <f>AT15*AU15</f>
        <v>400</v>
      </c>
      <c r="AW15" s="42">
        <f>AV15/$AV$73</f>
        <v>7.3306074393737972E-3</v>
      </c>
      <c r="AX15" s="51"/>
      <c r="AY15" s="820" t="str">
        <f>'Standard Vorgaben'!$C$95</f>
        <v>Mist 
(Frischsubstanz)</v>
      </c>
      <c r="AZ15" s="488">
        <f>'Standard Vorgaben'!$C$107</f>
        <v>14</v>
      </c>
      <c r="BA15" s="147">
        <f>'Standard Vorgaben'!$C$106</f>
        <v>20000</v>
      </c>
      <c r="BB15" s="148">
        <f>'Standard Vorgaben'!$C$96</f>
        <v>0.02</v>
      </c>
      <c r="BC15" s="38">
        <f>BA15*BB15</f>
        <v>400</v>
      </c>
      <c r="BD15" s="42">
        <f>BC15/$BC$73</f>
        <v>7.3572244653069907E-3</v>
      </c>
      <c r="BE15" s="51"/>
      <c r="BF15" s="820" t="str">
        <f>'Standard Vorgaben'!$C$95</f>
        <v>Mist 
(Frischsubstanz)</v>
      </c>
      <c r="BG15" s="488">
        <f>'Standard Vorgaben'!AE107</f>
        <v>0</v>
      </c>
      <c r="BH15" s="147">
        <v>0</v>
      </c>
      <c r="BI15" s="148">
        <f>'Standard Vorgaben'!$C$96</f>
        <v>0.02</v>
      </c>
      <c r="BJ15" s="38">
        <f>BH15*BI15</f>
        <v>0</v>
      </c>
      <c r="BK15" s="42">
        <f>BJ15/$BJ$73</f>
        <v>0</v>
      </c>
      <c r="BL15" s="51"/>
      <c r="BM15" s="820" t="str">
        <f>'Standard Vorgaben'!$C$95</f>
        <v>Mist 
(Frischsubstanz)</v>
      </c>
      <c r="BN15" s="488">
        <f>'Standard Vorgaben'!$C$107</f>
        <v>14</v>
      </c>
      <c r="BO15" s="147">
        <f>'Standard Vorgaben'!$C$106</f>
        <v>20000</v>
      </c>
      <c r="BP15" s="148">
        <f>'Standard Vorgaben'!$C$96</f>
        <v>0.02</v>
      </c>
      <c r="BQ15" s="38">
        <f>BO15*BP15</f>
        <v>400</v>
      </c>
      <c r="BR15" s="42">
        <f>BQ15/$BQ$73</f>
        <v>6.7838844415417767E-3</v>
      </c>
      <c r="BS15" s="51"/>
      <c r="BT15" s="820" t="str">
        <f>'Standard Vorgaben'!$C$95</f>
        <v>Mist 
(Frischsubstanz)</v>
      </c>
      <c r="BU15" s="488">
        <f>'Standard Vorgaben'!$C$107</f>
        <v>14</v>
      </c>
      <c r="BV15" s="147">
        <f>'Standard Vorgaben'!$C$106</f>
        <v>20000</v>
      </c>
      <c r="BW15" s="148">
        <f>'Standard Vorgaben'!$C$96</f>
        <v>0.02</v>
      </c>
      <c r="BX15" s="38">
        <f>BV15*BW15</f>
        <v>400</v>
      </c>
      <c r="BY15" s="42">
        <f>BX15/$BX$73</f>
        <v>7.3765858533915984E-3</v>
      </c>
      <c r="BZ15" s="51"/>
      <c r="CA15" s="820" t="str">
        <f>'Standard Vorgaben'!$C$95</f>
        <v>Mist 
(Frischsubstanz)</v>
      </c>
      <c r="CB15" s="488">
        <f>'Standard Vorgaben'!AZ107</f>
        <v>0</v>
      </c>
      <c r="CC15" s="147">
        <v>0</v>
      </c>
      <c r="CD15" s="148">
        <f>'Standard Vorgaben'!$C$96</f>
        <v>0.02</v>
      </c>
      <c r="CE15" s="38">
        <f>CC15*CD15</f>
        <v>0</v>
      </c>
      <c r="CF15" s="42">
        <f>CE15/$CE$73</f>
        <v>0</v>
      </c>
      <c r="CG15" s="51"/>
      <c r="CH15" s="820" t="str">
        <f>'Standard Vorgaben'!$C$95</f>
        <v>Mist 
(Frischsubstanz)</v>
      </c>
      <c r="CI15" s="488">
        <f>'Standard Vorgaben'!$C$107</f>
        <v>14</v>
      </c>
      <c r="CJ15" s="147">
        <f>'Standard Vorgaben'!$C$106</f>
        <v>20000</v>
      </c>
      <c r="CK15" s="148">
        <f>'Standard Vorgaben'!$C$96</f>
        <v>0.02</v>
      </c>
      <c r="CL15" s="38">
        <f>CJ15*CK15</f>
        <v>400</v>
      </c>
      <c r="CM15" s="42">
        <f>CL15/$CL$73</f>
        <v>7.4299509493935996E-3</v>
      </c>
      <c r="CN15" s="51"/>
      <c r="CO15" s="820" t="str">
        <f>'Standard Vorgaben'!$C$95</f>
        <v>Mist 
(Frischsubstanz)</v>
      </c>
      <c r="CP15" s="488">
        <f>'Standard Vorgaben'!$C$107</f>
        <v>14</v>
      </c>
      <c r="CQ15" s="147">
        <f>'Standard Vorgaben'!$C$106</f>
        <v>20000</v>
      </c>
      <c r="CR15" s="148">
        <f>'Standard Vorgaben'!$C$96</f>
        <v>0.02</v>
      </c>
      <c r="CS15" s="38">
        <f>CQ15*CR15</f>
        <v>400</v>
      </c>
      <c r="CT15" s="42">
        <f>CS15/$CS$73</f>
        <v>7.4582086331719212E-3</v>
      </c>
      <c r="CU15" s="51"/>
      <c r="CV15" s="820" t="str">
        <f>'Standard Vorgaben'!$C$95</f>
        <v>Mist 
(Frischsubstanz)</v>
      </c>
      <c r="CW15" s="488">
        <f>'Standard Vorgaben'!BU107</f>
        <v>0</v>
      </c>
      <c r="CX15" s="147">
        <v>0</v>
      </c>
      <c r="CY15" s="148">
        <f>'Standard Vorgaben'!$C$96</f>
        <v>0.02</v>
      </c>
      <c r="CZ15" s="38">
        <f>CX15*CY15</f>
        <v>0</v>
      </c>
      <c r="DA15" s="42">
        <f>CZ15/$CZ$73</f>
        <v>0</v>
      </c>
      <c r="DB15" s="51"/>
      <c r="DC15" s="820" t="str">
        <f>'Standard Vorgaben'!$C$95</f>
        <v>Mist 
(Frischsubstanz)</v>
      </c>
      <c r="DD15" s="488">
        <f>'Standard Vorgaben'!$C$107</f>
        <v>14</v>
      </c>
      <c r="DE15" s="147">
        <f>'Standard Vorgaben'!$C$106</f>
        <v>20000</v>
      </c>
      <c r="DF15" s="148">
        <f>'Standard Vorgaben'!$C$96</f>
        <v>0.02</v>
      </c>
      <c r="DG15" s="38">
        <f>DE15*DF15</f>
        <v>400</v>
      </c>
      <c r="DH15" s="42">
        <f>DG15/$DG$73</f>
        <v>6.7531087329277461E-3</v>
      </c>
    </row>
    <row r="16" spans="1:112" x14ac:dyDescent="0.2">
      <c r="A16" s="51"/>
      <c r="B16" s="820" t="str">
        <f>'Standard Vorgaben'!$D$95</f>
        <v>Kompost (Trockensubstanz)</v>
      </c>
      <c r="C16" s="1253">
        <f>'Standard Vorgaben'!D99</f>
        <v>0</v>
      </c>
      <c r="D16" s="147">
        <f>'Standard Vorgaben'!D98</f>
        <v>0</v>
      </c>
      <c r="E16" s="148">
        <f>'Standard Vorgaben'!$D$96</f>
        <v>0.02</v>
      </c>
      <c r="F16" s="39">
        <f>D16*E16</f>
        <v>0</v>
      </c>
      <c r="G16" s="42">
        <f>F16/$F$73</f>
        <v>0</v>
      </c>
      <c r="H16" s="51"/>
      <c r="I16" s="820" t="str">
        <f>'Standard Vorgaben'!$D$95</f>
        <v>Kompost (Trockensubstanz)</v>
      </c>
      <c r="J16" s="1253">
        <f>'Standard Vorgaben'!D101</f>
        <v>0</v>
      </c>
      <c r="K16" s="147">
        <f>'Standard Vorgaben'!D100</f>
        <v>0</v>
      </c>
      <c r="L16" s="148">
        <f>'Standard Vorgaben'!$D$96</f>
        <v>0.02</v>
      </c>
      <c r="M16" s="39">
        <f>K16*L16</f>
        <v>0</v>
      </c>
      <c r="N16" s="42">
        <f>M16/$M$73</f>
        <v>0</v>
      </c>
      <c r="O16" s="51"/>
      <c r="P16" s="820" t="str">
        <f>'Standard Vorgaben'!$D$95</f>
        <v>Kompost (Trockensubstanz)</v>
      </c>
      <c r="Q16" s="1253">
        <f>'Standard Vorgaben'!D103</f>
        <v>22</v>
      </c>
      <c r="R16" s="147">
        <f>'Standard Vorgaben'!D102</f>
        <v>16666.666666666668</v>
      </c>
      <c r="S16" s="148">
        <f>'Standard Vorgaben'!$D$96</f>
        <v>0.02</v>
      </c>
      <c r="T16" s="39">
        <f>R16*S16</f>
        <v>333.33333333333337</v>
      </c>
      <c r="U16" s="42">
        <f>T16/$T$73</f>
        <v>3.8915382485515009E-3</v>
      </c>
      <c r="V16" s="51"/>
      <c r="W16" s="820" t="str">
        <f>'Standard Vorgaben'!$D$95</f>
        <v>Kompost (Trockensubstanz)</v>
      </c>
      <c r="X16" s="1253">
        <f>'Standard Vorgaben'!D105</f>
        <v>0</v>
      </c>
      <c r="Y16" s="147">
        <f>'Standard Vorgaben'!D104</f>
        <v>0</v>
      </c>
      <c r="Z16" s="148">
        <f>'Standard Vorgaben'!$D$96</f>
        <v>0.02</v>
      </c>
      <c r="AA16" s="39">
        <f>Y16*Z16</f>
        <v>0</v>
      </c>
      <c r="AB16" s="42">
        <f>AA16/$AA$73</f>
        <v>0</v>
      </c>
      <c r="AC16" s="51"/>
      <c r="AD16" s="820" t="str">
        <f>'Standard Vorgaben'!$D$95</f>
        <v>Kompost (Trockensubstanz)</v>
      </c>
      <c r="AE16" s="1253">
        <v>0</v>
      </c>
      <c r="AF16" s="147">
        <v>0</v>
      </c>
      <c r="AG16" s="148">
        <f>'Standard Vorgaben'!$D$96</f>
        <v>0.02</v>
      </c>
      <c r="AH16" s="39">
        <f>AF16*AG16</f>
        <v>0</v>
      </c>
      <c r="AI16" s="42">
        <f>AH16/$AH$73</f>
        <v>0</v>
      </c>
      <c r="AJ16" s="51"/>
      <c r="AK16" s="820" t="str">
        <f>'Standard Vorgaben'!$D$95</f>
        <v>Kompost (Trockensubstanz)</v>
      </c>
      <c r="AL16" s="1264">
        <f>'Standard Vorgaben'!$D$107</f>
        <v>33</v>
      </c>
      <c r="AM16" s="1262">
        <f>'Standard Vorgaben'!$D$106</f>
        <v>25000</v>
      </c>
      <c r="AN16" s="1263">
        <f>'Standard Vorgaben'!$D$96</f>
        <v>0.02</v>
      </c>
      <c r="AO16" s="1265">
        <f>AM16*AN16</f>
        <v>500</v>
      </c>
      <c r="AP16" s="42">
        <f>AO16/$AO$73</f>
        <v>8.8931878208643438E-3</v>
      </c>
      <c r="AQ16" s="51"/>
      <c r="AR16" s="820" t="str">
        <f>'Standard Vorgaben'!$D$95</f>
        <v>Kompost (Trockensubstanz)</v>
      </c>
      <c r="AS16" s="1253">
        <v>0</v>
      </c>
      <c r="AT16" s="147">
        <v>0</v>
      </c>
      <c r="AU16" s="148">
        <f>'Standard Vorgaben'!$D$96</f>
        <v>0.02</v>
      </c>
      <c r="AV16" s="39">
        <f>AT16*AU16</f>
        <v>0</v>
      </c>
      <c r="AW16" s="42">
        <f>AV16/$AV$73</f>
        <v>0</v>
      </c>
      <c r="AX16" s="51"/>
      <c r="AY16" s="820" t="str">
        <f>'Standard Vorgaben'!$D$95</f>
        <v>Kompost (Trockensubstanz)</v>
      </c>
      <c r="AZ16" s="1253">
        <v>0</v>
      </c>
      <c r="BA16" s="147">
        <v>0</v>
      </c>
      <c r="BB16" s="148">
        <f>'Standard Vorgaben'!$D$96</f>
        <v>0.02</v>
      </c>
      <c r="BC16" s="39">
        <f>BA16*BB16</f>
        <v>0</v>
      </c>
      <c r="BD16" s="42">
        <f>BC16/$BC$73</f>
        <v>0</v>
      </c>
      <c r="BE16" s="51"/>
      <c r="BF16" s="820" t="str">
        <f>'Standard Vorgaben'!$D$95</f>
        <v>Kompost (Trockensubstanz)</v>
      </c>
      <c r="BG16" s="1264">
        <f>'Standard Vorgaben'!$D$107</f>
        <v>33</v>
      </c>
      <c r="BH16" s="147">
        <f>'Standard Vorgaben'!$D$106</f>
        <v>25000</v>
      </c>
      <c r="BI16" s="148">
        <f>'Standard Vorgaben'!$D$96</f>
        <v>0.02</v>
      </c>
      <c r="BJ16" s="39">
        <f>BH16*BI16</f>
        <v>500</v>
      </c>
      <c r="BK16" s="42">
        <f>BJ16/$BJ$73</f>
        <v>4.9844120613011869E-3</v>
      </c>
      <c r="BL16" s="51"/>
      <c r="BM16" s="820" t="str">
        <f>'Standard Vorgaben'!$D$95</f>
        <v>Kompost (Trockensubstanz)</v>
      </c>
      <c r="BN16" s="1253">
        <v>0</v>
      </c>
      <c r="BO16" s="147">
        <v>0</v>
      </c>
      <c r="BP16" s="148">
        <f>'Standard Vorgaben'!$D$96</f>
        <v>0.02</v>
      </c>
      <c r="BQ16" s="39">
        <f>BO16*BP16</f>
        <v>0</v>
      </c>
      <c r="BR16" s="42">
        <f>BQ16/$BQ$73</f>
        <v>0</v>
      </c>
      <c r="BS16" s="51"/>
      <c r="BT16" s="820" t="str">
        <f>'Standard Vorgaben'!$D$95</f>
        <v>Kompost (Trockensubstanz)</v>
      </c>
      <c r="BU16" s="1253">
        <v>0</v>
      </c>
      <c r="BV16" s="147">
        <v>0</v>
      </c>
      <c r="BW16" s="148">
        <f>'Standard Vorgaben'!$D$96</f>
        <v>0.02</v>
      </c>
      <c r="BX16" s="39">
        <f>BV16*BW16</f>
        <v>0</v>
      </c>
      <c r="BY16" s="42">
        <f>BX16/$BX$73</f>
        <v>0</v>
      </c>
      <c r="BZ16" s="51"/>
      <c r="CA16" s="820" t="str">
        <f>'Standard Vorgaben'!$D$95</f>
        <v>Kompost (Trockensubstanz)</v>
      </c>
      <c r="CB16" s="1264">
        <f>'Standard Vorgaben'!$D$107</f>
        <v>33</v>
      </c>
      <c r="CC16" s="147">
        <f>'Standard Vorgaben'!$D$106</f>
        <v>25000</v>
      </c>
      <c r="CD16" s="148">
        <f>'Standard Vorgaben'!$D$96</f>
        <v>0.02</v>
      </c>
      <c r="CE16" s="39">
        <f>CC16*CD16</f>
        <v>500</v>
      </c>
      <c r="CF16" s="42">
        <f>CE16/$CE$73</f>
        <v>9.0090519406477165E-3</v>
      </c>
      <c r="CG16" s="51"/>
      <c r="CH16" s="820" t="str">
        <f>'Standard Vorgaben'!$D$95</f>
        <v>Kompost (Trockensubstanz)</v>
      </c>
      <c r="CI16" s="1253">
        <v>0</v>
      </c>
      <c r="CJ16" s="147">
        <v>0</v>
      </c>
      <c r="CK16" s="148">
        <f>'Standard Vorgaben'!$D$96</f>
        <v>0.02</v>
      </c>
      <c r="CL16" s="39">
        <f>CJ16*CK16</f>
        <v>0</v>
      </c>
      <c r="CM16" s="42">
        <f>CL16/$CL$73</f>
        <v>0</v>
      </c>
      <c r="CN16" s="51"/>
      <c r="CO16" s="820" t="str">
        <f>'Standard Vorgaben'!$D$95</f>
        <v>Kompost (Trockensubstanz)</v>
      </c>
      <c r="CP16" s="1253">
        <v>0</v>
      </c>
      <c r="CQ16" s="147">
        <v>0</v>
      </c>
      <c r="CR16" s="148">
        <f>'Standard Vorgaben'!$D$96</f>
        <v>0.02</v>
      </c>
      <c r="CS16" s="39">
        <f>CQ16*CR16</f>
        <v>0</v>
      </c>
      <c r="CT16" s="42">
        <f>CS16/$CS$73</f>
        <v>0</v>
      </c>
      <c r="CU16" s="51"/>
      <c r="CV16" s="820" t="str">
        <f>'Standard Vorgaben'!$D$95</f>
        <v>Kompost (Trockensubstanz)</v>
      </c>
      <c r="CW16" s="1264">
        <f>'Standard Vorgaben'!$D$107</f>
        <v>33</v>
      </c>
      <c r="CX16" s="147">
        <f>'Standard Vorgaben'!$D$106</f>
        <v>25000</v>
      </c>
      <c r="CY16" s="148">
        <f>'Standard Vorgaben'!$D$96</f>
        <v>0.02</v>
      </c>
      <c r="CZ16" s="39">
        <f>CX16*CY16</f>
        <v>500</v>
      </c>
      <c r="DA16" s="42">
        <f>CZ16/$CZ$73</f>
        <v>9.1073108309559017E-3</v>
      </c>
      <c r="DB16" s="51"/>
      <c r="DC16" s="820" t="str">
        <f>'Standard Vorgaben'!$D$95</f>
        <v>Kompost (Trockensubstanz)</v>
      </c>
      <c r="DD16" s="1253">
        <v>0</v>
      </c>
      <c r="DE16" s="147">
        <v>0</v>
      </c>
      <c r="DF16" s="148">
        <f>'Standard Vorgaben'!$D$96</f>
        <v>0.02</v>
      </c>
      <c r="DG16" s="39">
        <f>DE16*DF16</f>
        <v>0</v>
      </c>
      <c r="DH16" s="42">
        <f>DG16/$DG$73</f>
        <v>0</v>
      </c>
    </row>
    <row r="17" spans="1:112" x14ac:dyDescent="0.2">
      <c r="A17" s="3"/>
      <c r="C17" s="68">
        <f>SUM(C14:C16)</f>
        <v>1</v>
      </c>
      <c r="F17" s="33">
        <f>SUM(F14:F16)</f>
        <v>152.5</v>
      </c>
      <c r="G17" s="611">
        <f>F17/$F$73</f>
        <v>1.2635106716206736E-2</v>
      </c>
      <c r="H17" s="3"/>
      <c r="I17" s="20"/>
      <c r="J17" s="68">
        <f>SUM(J14:J16)</f>
        <v>1</v>
      </c>
      <c r="K17" s="12"/>
      <c r="L17" s="30"/>
      <c r="M17" s="33">
        <f>SUM(M14:M16)</f>
        <v>305</v>
      </c>
      <c r="N17" s="611">
        <f>M17/$M$73</f>
        <v>2.4997189299328492E-2</v>
      </c>
      <c r="O17" s="3"/>
      <c r="P17" s="20"/>
      <c r="Q17" s="1305">
        <f>SUM(Q14:Q16)</f>
        <v>23</v>
      </c>
      <c r="R17" s="12"/>
      <c r="S17" s="30"/>
      <c r="T17" s="33">
        <f>SUM(T14:T16)</f>
        <v>790.83333333333337</v>
      </c>
      <c r="U17" s="611">
        <f>T17/$T$73</f>
        <v>9.2326744946884358E-3</v>
      </c>
      <c r="V17" s="3"/>
      <c r="W17" s="20"/>
      <c r="X17" s="1305">
        <f>SUM(X14:X16)</f>
        <v>10.333333333333334</v>
      </c>
      <c r="Y17" s="12"/>
      <c r="Z17" s="30"/>
      <c r="AA17" s="33">
        <f>SUM(AA14:AA16)</f>
        <v>724.16666666666674</v>
      </c>
      <c r="AB17" s="611">
        <f>AA17/$AA$73</f>
        <v>2.1535362687055862E-2</v>
      </c>
      <c r="AC17" s="3"/>
      <c r="AD17" s="20"/>
      <c r="AE17" s="1305">
        <f>SUM(AE14:AE16)</f>
        <v>15</v>
      </c>
      <c r="AF17" s="12"/>
      <c r="AG17" s="30"/>
      <c r="AH17" s="33">
        <f>SUM(AH14:AH16)</f>
        <v>1010</v>
      </c>
      <c r="AI17" s="611">
        <f>AH17/$AH$73</f>
        <v>1.8382937852651604E-2</v>
      </c>
      <c r="AJ17" s="3"/>
      <c r="AK17" s="1146"/>
      <c r="AL17" s="1305">
        <f>SUM(AL14:AL16)</f>
        <v>34</v>
      </c>
      <c r="AM17" s="12"/>
      <c r="AN17" s="30"/>
      <c r="AO17" s="33">
        <f>SUM(AO14:AO16)</f>
        <v>1110</v>
      </c>
      <c r="AP17" s="611">
        <f>AO17/$AO$73</f>
        <v>1.9742876962318842E-2</v>
      </c>
      <c r="AQ17" s="3"/>
      <c r="AR17" s="20"/>
      <c r="AS17" s="1305">
        <f>SUM(AS14:AS16)</f>
        <v>15</v>
      </c>
      <c r="AT17" s="12"/>
      <c r="AU17" s="30"/>
      <c r="AV17" s="33">
        <f>SUM(AV14:AV16)</f>
        <v>1010</v>
      </c>
      <c r="AW17" s="611">
        <f>AV17/$AV$73</f>
        <v>1.8509783784418837E-2</v>
      </c>
      <c r="AX17" s="3"/>
      <c r="AY17" s="20"/>
      <c r="AZ17" s="1305">
        <f>SUM(AZ14:AZ16)</f>
        <v>15</v>
      </c>
      <c r="BA17" s="12"/>
      <c r="BB17" s="30"/>
      <c r="BC17" s="33">
        <f>SUM(BC14:BC16)</f>
        <v>1010</v>
      </c>
      <c r="BD17" s="611">
        <f>BC17/$BC$73</f>
        <v>1.8576991774900152E-2</v>
      </c>
      <c r="BE17" s="3"/>
      <c r="BF17" s="20"/>
      <c r="BG17" s="1305">
        <f>SUM(BG14:BG16)</f>
        <v>34</v>
      </c>
      <c r="BH17" s="12"/>
      <c r="BI17" s="30"/>
      <c r="BJ17" s="33">
        <f>SUM(BJ14:BJ16)</f>
        <v>1110</v>
      </c>
      <c r="BK17" s="611">
        <f>BJ17/$BJ$73</f>
        <v>1.1065394776088635E-2</v>
      </c>
      <c r="BL17" s="3"/>
      <c r="BM17" s="20"/>
      <c r="BN17" s="1305">
        <f>SUM(BN14:BN16)</f>
        <v>15</v>
      </c>
      <c r="BO17" s="12"/>
      <c r="BP17" s="30"/>
      <c r="BQ17" s="33">
        <f>SUM(BQ14:BQ16)</f>
        <v>1010</v>
      </c>
      <c r="BR17" s="611">
        <f>BQ17/$BQ$73</f>
        <v>1.7129308214892988E-2</v>
      </c>
      <c r="BS17" s="3"/>
      <c r="BT17" s="20"/>
      <c r="BU17" s="1305">
        <f>SUM(BU14:BU16)</f>
        <v>15</v>
      </c>
      <c r="BV17" s="12"/>
      <c r="BW17" s="30"/>
      <c r="BX17" s="33">
        <f>SUM(BX14:BX16)</f>
        <v>1010</v>
      </c>
      <c r="BY17" s="611">
        <f>BX17/$BX$73</f>
        <v>1.8625879279813785E-2</v>
      </c>
      <c r="BZ17" s="3"/>
      <c r="CA17" s="20"/>
      <c r="CB17" s="1305">
        <f>SUM(CB14:CB16)</f>
        <v>34</v>
      </c>
      <c r="CC17" s="12"/>
      <c r="CD17" s="30"/>
      <c r="CE17" s="33">
        <f>SUM(CE14:CE16)</f>
        <v>1110</v>
      </c>
      <c r="CF17" s="611">
        <f>CE17/$CE$73</f>
        <v>2.0000095308237931E-2</v>
      </c>
      <c r="CG17" s="3"/>
      <c r="CH17" s="20"/>
      <c r="CI17" s="1305">
        <f>SUM(CI14:CI16)</f>
        <v>15</v>
      </c>
      <c r="CJ17" s="12"/>
      <c r="CK17" s="30"/>
      <c r="CL17" s="33">
        <f>SUM(CL14:CL16)</f>
        <v>1010</v>
      </c>
      <c r="CM17" s="611">
        <f>CL17/$CL$73</f>
        <v>1.876062614721884E-2</v>
      </c>
      <c r="CN17" s="3"/>
      <c r="CO17" s="20"/>
      <c r="CP17" s="1305">
        <f>SUM(CP14:CP16)</f>
        <v>15</v>
      </c>
      <c r="CQ17" s="12"/>
      <c r="CR17" s="30"/>
      <c r="CS17" s="33">
        <f>SUM(CS14:CS16)</f>
        <v>1010</v>
      </c>
      <c r="CT17" s="611">
        <f>CS17/$CS$73</f>
        <v>1.8831976798759101E-2</v>
      </c>
      <c r="CU17" s="3"/>
      <c r="CV17" s="20"/>
      <c r="CW17" s="1305">
        <f>SUM(CW14:CW16)</f>
        <v>34</v>
      </c>
      <c r="CX17" s="12"/>
      <c r="CY17" s="30"/>
      <c r="CZ17" s="33">
        <f>SUM(CZ14:CZ16)</f>
        <v>1110</v>
      </c>
      <c r="DA17" s="611">
        <f>CZ17/$CZ$73</f>
        <v>2.0218230044722101E-2</v>
      </c>
      <c r="DB17" s="3"/>
      <c r="DC17" s="20"/>
      <c r="DD17" s="1305">
        <f>SUM(DD14:DD16)</f>
        <v>15</v>
      </c>
      <c r="DE17" s="12"/>
      <c r="DF17" s="30"/>
      <c r="DG17" s="33">
        <f>SUM(DG14:DG16)</f>
        <v>1010</v>
      </c>
      <c r="DH17" s="611">
        <f>DG17/$DG$73</f>
        <v>1.705159955064256E-2</v>
      </c>
    </row>
    <row r="18" spans="1:112" x14ac:dyDescent="0.2">
      <c r="B18"/>
      <c r="E18" s="31"/>
      <c r="G18" s="42"/>
      <c r="H18" s="17"/>
      <c r="I18"/>
      <c r="J18" s="12"/>
      <c r="K18" s="12"/>
      <c r="L18" s="31"/>
      <c r="M18" s="31"/>
      <c r="N18" s="42"/>
      <c r="O18" s="143"/>
      <c r="Q18" s="12"/>
      <c r="R18" s="12"/>
      <c r="S18" s="31"/>
      <c r="T18" s="31"/>
      <c r="U18" s="42"/>
      <c r="V18" s="143"/>
      <c r="X18" s="12"/>
      <c r="Y18" s="12"/>
      <c r="Z18" s="31"/>
      <c r="AA18" s="31"/>
      <c r="AB18" s="42"/>
      <c r="AC18" s="143"/>
      <c r="AE18" s="12"/>
      <c r="AF18" s="12"/>
      <c r="AG18" s="31"/>
      <c r="AH18" s="31"/>
      <c r="AI18" s="42"/>
      <c r="AJ18" s="143"/>
      <c r="AL18" s="12"/>
      <c r="AM18" s="12"/>
      <c r="AN18" s="31"/>
      <c r="AO18" s="31"/>
      <c r="AP18" s="42"/>
      <c r="AQ18" s="143"/>
      <c r="AS18" s="12"/>
      <c r="AT18" s="12"/>
      <c r="AU18" s="31"/>
      <c r="AV18" s="31"/>
      <c r="AW18" s="42"/>
      <c r="AX18" s="143"/>
      <c r="AZ18" s="12"/>
      <c r="BA18" s="12"/>
      <c r="BB18" s="31"/>
      <c r="BC18" s="31"/>
      <c r="BD18" s="42"/>
      <c r="BE18" s="143"/>
      <c r="BG18" s="12"/>
      <c r="BH18" s="12"/>
      <c r="BI18" s="31"/>
      <c r="BJ18" s="31"/>
      <c r="BK18" s="42"/>
      <c r="BL18" s="143"/>
      <c r="BN18" s="12"/>
      <c r="BO18" s="12"/>
      <c r="BP18" s="31"/>
      <c r="BQ18" s="31"/>
      <c r="BR18" s="42"/>
      <c r="BS18" s="143"/>
      <c r="BU18" s="12"/>
      <c r="BV18" s="12"/>
      <c r="BW18" s="31"/>
      <c r="BX18" s="31"/>
      <c r="BY18" s="42"/>
      <c r="BZ18" s="143"/>
      <c r="CB18" s="12"/>
      <c r="CC18" s="12"/>
      <c r="CD18" s="31"/>
      <c r="CE18" s="31"/>
      <c r="CF18" s="42"/>
      <c r="CG18" s="143"/>
      <c r="CI18" s="12"/>
      <c r="CJ18" s="12"/>
      <c r="CK18" s="31"/>
      <c r="CL18" s="31"/>
      <c r="CM18" s="42"/>
      <c r="CN18" s="143"/>
      <c r="CP18" s="12"/>
      <c r="CQ18" s="12"/>
      <c r="CR18" s="31"/>
      <c r="CS18" s="31"/>
      <c r="CT18" s="42"/>
      <c r="CU18" s="143"/>
      <c r="CW18" s="12"/>
      <c r="CX18" s="12"/>
      <c r="CY18" s="31"/>
      <c r="CZ18" s="31"/>
      <c r="DA18" s="42"/>
      <c r="DB18" s="143"/>
      <c r="DD18" s="12"/>
      <c r="DE18" s="12"/>
      <c r="DF18" s="31"/>
      <c r="DG18" s="31"/>
      <c r="DH18" s="42"/>
    </row>
    <row r="19" spans="1:112" x14ac:dyDescent="0.2">
      <c r="A19" s="17" t="str">
        <f>'Standard Vorgaben'!$A$126</f>
        <v>Fungzide</v>
      </c>
      <c r="B19"/>
      <c r="E19" s="31"/>
      <c r="F19" s="31">
        <f>'Standard Vorgaben'!$G$114</f>
        <v>143.37440000000001</v>
      </c>
      <c r="G19" s="42">
        <f>F19/$F$73</f>
        <v>1.1879021930308925E-2</v>
      </c>
      <c r="H19" s="17" t="str">
        <f>'Standard Vorgaben'!$A$126</f>
        <v>Fungzide</v>
      </c>
      <c r="I19"/>
      <c r="J19" s="12"/>
      <c r="K19" s="12"/>
      <c r="L19" s="31"/>
      <c r="M19" s="31">
        <f>'Standard Vorgaben'!$G$114</f>
        <v>143.37440000000001</v>
      </c>
      <c r="N19" s="42">
        <f t="shared" ref="N19:N25" si="0">M19/$M$73</f>
        <v>1.1750678745828337E-2</v>
      </c>
      <c r="O19" s="17" t="str">
        <f>'Standard Vorgaben'!$A$126</f>
        <v>Fungzide</v>
      </c>
      <c r="Q19" s="12"/>
      <c r="R19" s="12"/>
      <c r="S19" s="31"/>
      <c r="T19" s="31">
        <f>'Standard Vorgaben'!$G$128</f>
        <v>430.1232</v>
      </c>
      <c r="U19" s="42">
        <f>T19/$T$73</f>
        <v>5.0215226531681008E-3</v>
      </c>
      <c r="V19" s="17" t="str">
        <f>'Standard Vorgaben'!$A$126</f>
        <v>Fungzide</v>
      </c>
      <c r="X19" s="12"/>
      <c r="Y19" s="12"/>
      <c r="Z19" s="31"/>
      <c r="AA19" s="31">
        <f>'Standard Vorgaben'!$G$128</f>
        <v>430.1232</v>
      </c>
      <c r="AB19" s="42">
        <f>AA19/$AA$73</f>
        <v>1.2791059763567869E-2</v>
      </c>
      <c r="AC19" s="17" t="str">
        <f>'Standard Vorgaben'!$A$126</f>
        <v>Fungzide</v>
      </c>
      <c r="AE19" s="12"/>
      <c r="AF19" s="12"/>
      <c r="AG19" s="31"/>
      <c r="AH19" s="31">
        <f>'Standard Vorgaben'!$G$140</f>
        <v>114.54000000000002</v>
      </c>
      <c r="AI19" s="42">
        <f>AH19/$AH$73</f>
        <v>2.0847343580620943E-3</v>
      </c>
      <c r="AJ19" s="17" t="str">
        <f>'Standard Vorgaben'!$A$126</f>
        <v>Fungzide</v>
      </c>
      <c r="AL19" s="12"/>
      <c r="AM19" s="12"/>
      <c r="AN19" s="31"/>
      <c r="AO19" s="31">
        <f>'Standard Vorgaben'!$G$140</f>
        <v>114.54000000000002</v>
      </c>
      <c r="AP19" s="42">
        <f>AO19/$AO$73</f>
        <v>2.0372514660036041E-3</v>
      </c>
      <c r="AQ19" s="17" t="str">
        <f>'Standard Vorgaben'!$A$126</f>
        <v>Fungzide</v>
      </c>
      <c r="AS19" s="12"/>
      <c r="AT19" s="12"/>
      <c r="AU19" s="31"/>
      <c r="AV19" s="31">
        <f>'Standard Vorgaben'!$G$140</f>
        <v>114.54000000000002</v>
      </c>
      <c r="AW19" s="42">
        <f>AV19/$AV$73</f>
        <v>2.0991194402646871E-3</v>
      </c>
      <c r="AX19" s="17" t="str">
        <f>'Standard Vorgaben'!$A$126</f>
        <v>Fungzide</v>
      </c>
      <c r="AZ19" s="12"/>
      <c r="BA19" s="12"/>
      <c r="BB19" s="31"/>
      <c r="BC19" s="31">
        <f>'Standard Vorgaben'!$G$140</f>
        <v>114.54000000000002</v>
      </c>
      <c r="BD19" s="42">
        <f>BC19/$BC$73</f>
        <v>2.1067412256406573E-3</v>
      </c>
      <c r="BE19" s="17" t="str">
        <f>'Standard Vorgaben'!$A$126</f>
        <v>Fungzide</v>
      </c>
      <c r="BG19" s="12"/>
      <c r="BH19" s="12"/>
      <c r="BI19" s="31"/>
      <c r="BJ19" s="31">
        <f>'Standard Vorgaben'!$G$140</f>
        <v>114.54000000000002</v>
      </c>
      <c r="BK19" s="42">
        <f>BJ19/$BJ$73</f>
        <v>1.1418291150028762E-3</v>
      </c>
      <c r="BL19" s="17" t="str">
        <f>'Standard Vorgaben'!$A$126</f>
        <v>Fungzide</v>
      </c>
      <c r="BN19" s="12"/>
      <c r="BO19" s="12"/>
      <c r="BP19" s="31"/>
      <c r="BQ19" s="31">
        <f>'Standard Vorgaben'!$G$140</f>
        <v>114.54000000000002</v>
      </c>
      <c r="BR19" s="42">
        <f>BQ19/$BQ$73</f>
        <v>1.9425653098354883E-3</v>
      </c>
      <c r="BS19" s="17" t="str">
        <f>'Standard Vorgaben'!$A$126</f>
        <v>Fungzide</v>
      </c>
      <c r="BU19" s="12"/>
      <c r="BV19" s="12"/>
      <c r="BW19" s="31"/>
      <c r="BX19" s="31">
        <f>'Standard Vorgaben'!$G$140</f>
        <v>114.54000000000002</v>
      </c>
      <c r="BY19" s="42">
        <f>BX19/$BX$73</f>
        <v>2.1122853591186846E-3</v>
      </c>
      <c r="BZ19" s="17" t="str">
        <f>'Standard Vorgaben'!$A$126</f>
        <v>Fungzide</v>
      </c>
      <c r="CB19" s="12"/>
      <c r="CC19" s="12"/>
      <c r="CD19" s="31"/>
      <c r="CE19" s="31">
        <f>'Standard Vorgaben'!$G$140</f>
        <v>114.54000000000002</v>
      </c>
      <c r="CF19" s="42">
        <f>CE19/$CE$73</f>
        <v>2.0637936185635792E-3</v>
      </c>
      <c r="CG19" s="17" t="str">
        <f>'Standard Vorgaben'!$A$126</f>
        <v>Fungzide</v>
      </c>
      <c r="CI19" s="12"/>
      <c r="CJ19" s="12"/>
      <c r="CK19" s="31"/>
      <c r="CL19" s="31">
        <f>'Standard Vorgaben'!$G$140</f>
        <v>114.54000000000002</v>
      </c>
      <c r="CM19" s="42">
        <f>CL19/$CL$73</f>
        <v>2.1275664543588574E-3</v>
      </c>
      <c r="CN19" s="17" t="str">
        <f>'Standard Vorgaben'!$A$126</f>
        <v>Fungzide</v>
      </c>
      <c r="CP19" s="12"/>
      <c r="CQ19" s="12"/>
      <c r="CR19" s="31"/>
      <c r="CS19" s="31">
        <f>'Standard Vorgaben'!$G$140</f>
        <v>114.54000000000002</v>
      </c>
      <c r="CT19" s="42">
        <f>CS19/$CS$73</f>
        <v>2.1356580421087799E-3</v>
      </c>
      <c r="CU19" s="17" t="str">
        <f>'Standard Vorgaben'!$A$126</f>
        <v>Fungzide</v>
      </c>
      <c r="CW19" s="12"/>
      <c r="CX19" s="12"/>
      <c r="CY19" s="31"/>
      <c r="CZ19" s="31">
        <f>'Standard Vorgaben'!$G$140</f>
        <v>114.54000000000002</v>
      </c>
      <c r="DA19" s="42">
        <f>CZ19/$CZ$73</f>
        <v>2.0863027651553782E-3</v>
      </c>
      <c r="DB19" s="17" t="str">
        <f>'Standard Vorgaben'!$A$126</f>
        <v>Fungzide</v>
      </c>
      <c r="DD19" s="12"/>
      <c r="DE19" s="12"/>
      <c r="DF19" s="31"/>
      <c r="DG19" s="31">
        <f>'Standard Vorgaben'!$G$140</f>
        <v>114.54000000000002</v>
      </c>
      <c r="DH19" s="42">
        <f>DG19/$DG$73</f>
        <v>1.9337526856738605E-3</v>
      </c>
    </row>
    <row r="20" spans="1:112" x14ac:dyDescent="0.2">
      <c r="A20" s="17" t="str">
        <f>'Standard Vorgaben'!$A$129</f>
        <v>Insektizide</v>
      </c>
      <c r="B20"/>
      <c r="E20" s="31"/>
      <c r="F20" s="31">
        <f>'Standard Vorgaben'!$G$118</f>
        <v>723.31133333333332</v>
      </c>
      <c r="G20" s="42">
        <f>F20/$F$73</f>
        <v>5.9928628758743926E-2</v>
      </c>
      <c r="H20" s="17" t="str">
        <f>'Standard Vorgaben'!$A$129</f>
        <v>Insektizide</v>
      </c>
      <c r="I20"/>
      <c r="J20" s="12"/>
      <c r="K20" s="12"/>
      <c r="L20" s="31"/>
      <c r="M20" s="31">
        <f>'Standard Vorgaben'!$G$118</f>
        <v>723.31133333333332</v>
      </c>
      <c r="N20" s="42">
        <f t="shared" si="0"/>
        <v>5.9281148595682044E-2</v>
      </c>
      <c r="O20" s="17" t="str">
        <f>'Standard Vorgaben'!$A$129</f>
        <v>Insektizide</v>
      </c>
      <c r="Q20" s="12"/>
      <c r="R20" s="12"/>
      <c r="S20" s="31"/>
      <c r="T20" s="31">
        <f>'Standard Vorgaben'!$G$132</f>
        <v>2169.9339999999997</v>
      </c>
      <c r="U20" s="42">
        <f>T20/$T$73</f>
        <v>2.5333143473497053E-2</v>
      </c>
      <c r="V20" s="17" t="str">
        <f>'Standard Vorgaben'!$A$129</f>
        <v>Insektizide</v>
      </c>
      <c r="X20" s="12"/>
      <c r="Y20" s="12"/>
      <c r="Z20" s="31"/>
      <c r="AA20" s="31">
        <f>'Standard Vorgaben'!$G$132</f>
        <v>2169.9339999999997</v>
      </c>
      <c r="AB20" s="42">
        <f>AA20/$AA$73</f>
        <v>6.4529780018836178E-2</v>
      </c>
      <c r="AC20" s="17" t="str">
        <f>'Standard Vorgaben'!$A$129</f>
        <v>Insektizide</v>
      </c>
      <c r="AE20" s="12"/>
      <c r="AF20" s="12"/>
      <c r="AG20" s="31"/>
      <c r="AH20" s="31">
        <f>'Standard Vorgaben'!$G$142</f>
        <v>1745.7599999999998</v>
      </c>
      <c r="AI20" s="42">
        <f>AH20/$AH$73</f>
        <v>3.1774453055094118E-2</v>
      </c>
      <c r="AJ20" s="17" t="str">
        <f>'Standard Vorgaben'!$A$129</f>
        <v>Insektizide</v>
      </c>
      <c r="AL20" s="12"/>
      <c r="AM20" s="12"/>
      <c r="AN20" s="31"/>
      <c r="AO20" s="31">
        <f>'Standard Vorgaben'!$G$142</f>
        <v>1745.7599999999998</v>
      </c>
      <c r="AP20" s="42">
        <f>AO20/$AO$73</f>
        <v>3.105074314030427E-2</v>
      </c>
      <c r="AQ20" s="17" t="str">
        <f>'Standard Vorgaben'!$A$129</f>
        <v>Insektizide</v>
      </c>
      <c r="AS20" s="12"/>
      <c r="AT20" s="12"/>
      <c r="AU20" s="31"/>
      <c r="AV20" s="31">
        <f>'Standard Vorgaben'!$G$142</f>
        <v>1745.7599999999998</v>
      </c>
      <c r="AW20" s="42">
        <f>AV20/$AV$73</f>
        <v>3.1993703108402993E-2</v>
      </c>
      <c r="AX20" s="17" t="str">
        <f>'Standard Vorgaben'!$A$129</f>
        <v>Insektizide</v>
      </c>
      <c r="AZ20" s="12"/>
      <c r="BA20" s="12"/>
      <c r="BB20" s="31"/>
      <c r="BC20" s="31">
        <f>'Standard Vorgaben'!$G$142</f>
        <v>1745.7599999999998</v>
      </c>
      <c r="BD20" s="42">
        <f>BC20/$BC$73</f>
        <v>3.2109870456385831E-2</v>
      </c>
      <c r="BE20" s="17" t="str">
        <f>'Standard Vorgaben'!$A$129</f>
        <v>Insektizide</v>
      </c>
      <c r="BG20" s="12"/>
      <c r="BH20" s="12"/>
      <c r="BI20" s="31"/>
      <c r="BJ20" s="31">
        <f>'Standard Vorgaben'!$G$142</f>
        <v>1745.7599999999998</v>
      </c>
      <c r="BK20" s="42">
        <f>BJ20/$BJ$73</f>
        <v>1.7403174400274318E-2</v>
      </c>
      <c r="BL20" s="17" t="str">
        <f>'Standard Vorgaben'!$A$129</f>
        <v>Insektizide</v>
      </c>
      <c r="BN20" s="12"/>
      <c r="BO20" s="12"/>
      <c r="BP20" s="31"/>
      <c r="BQ20" s="31">
        <f>'Standard Vorgaben'!$G$142</f>
        <v>1745.7599999999998</v>
      </c>
      <c r="BR20" s="42">
        <f>BQ20/$BQ$73</f>
        <v>2.9607585256664928E-2</v>
      </c>
      <c r="BS20" s="17" t="str">
        <f>'Standard Vorgaben'!$A$129</f>
        <v>Insektizide</v>
      </c>
      <c r="BU20" s="12"/>
      <c r="BV20" s="12"/>
      <c r="BW20" s="31"/>
      <c r="BX20" s="31">
        <f>'Standard Vorgaben'!$G$142</f>
        <v>1745.7599999999998</v>
      </c>
      <c r="BY20" s="42">
        <f>BX20/$BX$73</f>
        <v>3.2194371298542288E-2</v>
      </c>
      <c r="BZ20" s="17" t="str">
        <f>'Standard Vorgaben'!$A$129</f>
        <v>Insektizide</v>
      </c>
      <c r="CB20" s="12"/>
      <c r="CC20" s="12"/>
      <c r="CD20" s="31"/>
      <c r="CE20" s="31">
        <f>'Standard Vorgaben'!$G$142</f>
        <v>1745.7599999999998</v>
      </c>
      <c r="CF20" s="42">
        <f>CE20/$CE$73</f>
        <v>3.1455285031810311E-2</v>
      </c>
      <c r="CG20" s="17" t="str">
        <f>'Standard Vorgaben'!$A$129</f>
        <v>Insektizide</v>
      </c>
      <c r="CI20" s="12"/>
      <c r="CJ20" s="12"/>
      <c r="CK20" s="31"/>
      <c r="CL20" s="31">
        <f>'Standard Vorgaben'!$G$142</f>
        <v>1745.7599999999998</v>
      </c>
      <c r="CM20" s="42">
        <f>CL20/$CL$73</f>
        <v>3.2427277923533421E-2</v>
      </c>
      <c r="CN20" s="17" t="str">
        <f>'Standard Vorgaben'!$A$129</f>
        <v>Insektizide</v>
      </c>
      <c r="CP20" s="12"/>
      <c r="CQ20" s="12"/>
      <c r="CR20" s="31"/>
      <c r="CS20" s="31">
        <f>'Standard Vorgaben'!$G$142</f>
        <v>1745.7599999999998</v>
      </c>
      <c r="CT20" s="42">
        <f>CS20/$CS$73</f>
        <v>3.2550605758615528E-2</v>
      </c>
      <c r="CU20" s="17" t="str">
        <f>'Standard Vorgaben'!$A$129</f>
        <v>Insektizide</v>
      </c>
      <c r="CW20" s="12"/>
      <c r="CX20" s="12"/>
      <c r="CY20" s="31"/>
      <c r="CZ20" s="31">
        <f>'Standard Vorgaben'!$G$142</f>
        <v>1745.7599999999998</v>
      </c>
      <c r="DA20" s="42">
        <f>CZ20/$CZ$73</f>
        <v>3.1798357912499145E-2</v>
      </c>
      <c r="DB20" s="17" t="str">
        <f>'Standard Vorgaben'!$A$129</f>
        <v>Insektizide</v>
      </c>
      <c r="DD20" s="12"/>
      <c r="DE20" s="12"/>
      <c r="DF20" s="31"/>
      <c r="DG20" s="31">
        <f>'Standard Vorgaben'!$G$142</f>
        <v>1745.7599999999998</v>
      </c>
      <c r="DH20" s="42">
        <f>DG20/$DG$73</f>
        <v>2.9473267753989854E-2</v>
      </c>
    </row>
    <row r="21" spans="1:112" ht="13.5" thickBot="1" x14ac:dyDescent="0.25">
      <c r="A21" s="17" t="str">
        <f>'Standard Vorgaben'!$A$133</f>
        <v>Blattdüngung</v>
      </c>
      <c r="B21"/>
      <c r="D21" s="615"/>
      <c r="E21" s="47"/>
      <c r="F21" s="610">
        <f>'Standard Vorgaben'!$G$119</f>
        <v>0</v>
      </c>
      <c r="G21" s="42">
        <f>F21/$F$73</f>
        <v>0</v>
      </c>
      <c r="H21" s="17" t="str">
        <f>'Standard Vorgaben'!$A$133</f>
        <v>Blattdüngung</v>
      </c>
      <c r="I21"/>
      <c r="J21" s="12"/>
      <c r="K21" s="615"/>
      <c r="L21" s="47"/>
      <c r="M21" s="610">
        <f>'Standard Vorgaben'!$G$119</f>
        <v>0</v>
      </c>
      <c r="N21" s="42">
        <f t="shared" si="0"/>
        <v>0</v>
      </c>
      <c r="O21" s="17" t="str">
        <f>'Standard Vorgaben'!$A$133</f>
        <v>Blattdüngung</v>
      </c>
      <c r="Q21" s="12"/>
      <c r="R21" s="615"/>
      <c r="S21" s="47"/>
      <c r="T21" s="610">
        <f>'Standard Vorgaben'!$G$133</f>
        <v>0</v>
      </c>
      <c r="U21" s="42">
        <f>T21/$T$73</f>
        <v>0</v>
      </c>
      <c r="V21" s="17" t="str">
        <f>'Standard Vorgaben'!$A$133</f>
        <v>Blattdüngung</v>
      </c>
      <c r="X21" s="12"/>
      <c r="Y21" s="615"/>
      <c r="Z21" s="47"/>
      <c r="AA21" s="610">
        <f>'Standard Vorgaben'!$G$133</f>
        <v>0</v>
      </c>
      <c r="AB21" s="42">
        <f>AA21/$AA$73</f>
        <v>0</v>
      </c>
      <c r="AC21" s="17" t="str">
        <f>'Standard Vorgaben'!$A$133</f>
        <v>Blattdüngung</v>
      </c>
      <c r="AE21" s="12"/>
      <c r="AF21" s="615"/>
      <c r="AG21" s="47"/>
      <c r="AH21" s="610">
        <f>'Standard Vorgaben'!$G$143</f>
        <v>0</v>
      </c>
      <c r="AI21" s="42">
        <f>AH21/$AH$73</f>
        <v>0</v>
      </c>
      <c r="AJ21" s="17" t="str">
        <f>'Standard Vorgaben'!$A$133</f>
        <v>Blattdüngung</v>
      </c>
      <c r="AL21" s="12"/>
      <c r="AM21" s="615"/>
      <c r="AN21" s="47"/>
      <c r="AO21" s="610">
        <f>'Standard Vorgaben'!$G$143</f>
        <v>0</v>
      </c>
      <c r="AP21" s="42">
        <f>AO21/$AO$73</f>
        <v>0</v>
      </c>
      <c r="AQ21" s="17" t="str">
        <f>'Standard Vorgaben'!$A$133</f>
        <v>Blattdüngung</v>
      </c>
      <c r="AS21" s="12"/>
      <c r="AT21" s="615"/>
      <c r="AU21" s="47"/>
      <c r="AV21" s="610">
        <f>'Standard Vorgaben'!$G$143</f>
        <v>0</v>
      </c>
      <c r="AW21" s="42">
        <f>AV21/$AV$73</f>
        <v>0</v>
      </c>
      <c r="AX21" s="17" t="str">
        <f>'Standard Vorgaben'!$A$133</f>
        <v>Blattdüngung</v>
      </c>
      <c r="AZ21" s="12"/>
      <c r="BA21" s="615"/>
      <c r="BB21" s="47"/>
      <c r="BC21" s="610">
        <f>'Standard Vorgaben'!$G$143</f>
        <v>0</v>
      </c>
      <c r="BD21" s="42">
        <f>BC21/$BC$73</f>
        <v>0</v>
      </c>
      <c r="BE21" s="17" t="str">
        <f>'Standard Vorgaben'!$A$133</f>
        <v>Blattdüngung</v>
      </c>
      <c r="BG21" s="12"/>
      <c r="BH21" s="615"/>
      <c r="BI21" s="47"/>
      <c r="BJ21" s="610">
        <f>'Standard Vorgaben'!$G$143</f>
        <v>0</v>
      </c>
      <c r="BK21" s="42">
        <f>BJ21/$BJ$73</f>
        <v>0</v>
      </c>
      <c r="BL21" s="17" t="str">
        <f>'Standard Vorgaben'!$A$133</f>
        <v>Blattdüngung</v>
      </c>
      <c r="BN21" s="12"/>
      <c r="BO21" s="615"/>
      <c r="BP21" s="47"/>
      <c r="BQ21" s="610">
        <f>'Standard Vorgaben'!$G$143</f>
        <v>0</v>
      </c>
      <c r="BR21" s="42">
        <f>BQ21/$BQ$73</f>
        <v>0</v>
      </c>
      <c r="BS21" s="17" t="str">
        <f>'Standard Vorgaben'!$A$133</f>
        <v>Blattdüngung</v>
      </c>
      <c r="BU21" s="12"/>
      <c r="BV21" s="615"/>
      <c r="BW21" s="47"/>
      <c r="BX21" s="610">
        <f>'Standard Vorgaben'!$G$143</f>
        <v>0</v>
      </c>
      <c r="BY21" s="42">
        <f>BX21/$BX$73</f>
        <v>0</v>
      </c>
      <c r="BZ21" s="17" t="str">
        <f>'Standard Vorgaben'!$A$133</f>
        <v>Blattdüngung</v>
      </c>
      <c r="CB21" s="12"/>
      <c r="CC21" s="615"/>
      <c r="CD21" s="47"/>
      <c r="CE21" s="610">
        <f>'Standard Vorgaben'!$G$143</f>
        <v>0</v>
      </c>
      <c r="CF21" s="42">
        <f>CE21/$CE$73</f>
        <v>0</v>
      </c>
      <c r="CG21" s="17" t="str">
        <f>'Standard Vorgaben'!$A$133</f>
        <v>Blattdüngung</v>
      </c>
      <c r="CI21" s="12"/>
      <c r="CJ21" s="615"/>
      <c r="CK21" s="47"/>
      <c r="CL21" s="610">
        <f>'Standard Vorgaben'!$G$143</f>
        <v>0</v>
      </c>
      <c r="CM21" s="42">
        <f>CL21/$CL$73</f>
        <v>0</v>
      </c>
      <c r="CN21" s="17" t="str">
        <f>'Standard Vorgaben'!$A$133</f>
        <v>Blattdüngung</v>
      </c>
      <c r="CP21" s="12"/>
      <c r="CQ21" s="615"/>
      <c r="CR21" s="47"/>
      <c r="CS21" s="610">
        <f>'Standard Vorgaben'!$G$143</f>
        <v>0</v>
      </c>
      <c r="CT21" s="42">
        <f>CS21/$CS$73</f>
        <v>0</v>
      </c>
      <c r="CU21" s="17" t="str">
        <f>'Standard Vorgaben'!$A$133</f>
        <v>Blattdüngung</v>
      </c>
      <c r="CW21" s="12"/>
      <c r="CX21" s="615"/>
      <c r="CY21" s="47"/>
      <c r="CZ21" s="610">
        <f>'Standard Vorgaben'!$G$143</f>
        <v>0</v>
      </c>
      <c r="DA21" s="42">
        <f>CZ21/$CZ$73</f>
        <v>0</v>
      </c>
      <c r="DB21" s="17" t="str">
        <f>'Standard Vorgaben'!$A$133</f>
        <v>Blattdüngung</v>
      </c>
      <c r="DD21" s="12"/>
      <c r="DE21" s="615"/>
      <c r="DF21" s="47"/>
      <c r="DG21" s="610">
        <f>'Standard Vorgaben'!$G$143</f>
        <v>0</v>
      </c>
      <c r="DH21" s="42">
        <f>DG21/$DG$73</f>
        <v>0</v>
      </c>
    </row>
    <row r="22" spans="1:112" ht="16.5" customHeight="1" x14ac:dyDescent="0.2">
      <c r="A22" s="224"/>
      <c r="B22" s="226"/>
      <c r="F22" s="33">
        <f>SUM(F19:F21)</f>
        <v>866.68573333333336</v>
      </c>
      <c r="G22" s="1225">
        <f>F22/$F$73</f>
        <v>7.1807650689052857E-2</v>
      </c>
      <c r="H22" s="224"/>
      <c r="I22" s="226"/>
      <c r="J22" s="12"/>
      <c r="K22" s="12"/>
      <c r="L22" s="30"/>
      <c r="M22" s="33">
        <f>SUM(M19:M21)</f>
        <v>866.68573333333336</v>
      </c>
      <c r="N22" s="1225">
        <f t="shared" si="0"/>
        <v>7.1031827341510381E-2</v>
      </c>
      <c r="O22" s="224"/>
      <c r="P22" s="226"/>
      <c r="Q22" s="12"/>
      <c r="R22" s="12"/>
      <c r="S22" s="30"/>
      <c r="T22" s="33">
        <f>SUM(T19:T21)</f>
        <v>2600.0571999999997</v>
      </c>
      <c r="U22" s="1225">
        <f>T22/$T$73</f>
        <v>3.0354666126665153E-2</v>
      </c>
      <c r="V22" s="224"/>
      <c r="W22" s="226"/>
      <c r="X22" s="12"/>
      <c r="Y22" s="12"/>
      <c r="Z22" s="30"/>
      <c r="AA22" s="33">
        <f>SUM(AA19:AA21)</f>
        <v>2600.0571999999997</v>
      </c>
      <c r="AB22" s="1225">
        <f>AA22/$AA$73</f>
        <v>7.7320839782404047E-2</v>
      </c>
      <c r="AC22" s="224"/>
      <c r="AD22" s="226"/>
      <c r="AE22" s="12"/>
      <c r="AF22" s="12"/>
      <c r="AG22" s="30"/>
      <c r="AH22" s="33">
        <f>SUM(AH19:AH21)</f>
        <v>1860.2999999999997</v>
      </c>
      <c r="AI22" s="1225">
        <f>AH22/$AH$73</f>
        <v>3.3859187413156216E-2</v>
      </c>
      <c r="AJ22" s="224"/>
      <c r="AK22" s="226"/>
      <c r="AL22" s="12"/>
      <c r="AM22" s="12"/>
      <c r="AN22" s="30"/>
      <c r="AO22" s="33">
        <f>SUM(AO19:AO21)</f>
        <v>1860.2999999999997</v>
      </c>
      <c r="AP22" s="1225">
        <f>AO22/$AO$73</f>
        <v>3.3087994606307874E-2</v>
      </c>
      <c r="AQ22" s="224"/>
      <c r="AR22" s="226"/>
      <c r="AS22" s="12"/>
      <c r="AT22" s="12"/>
      <c r="AU22" s="30"/>
      <c r="AV22" s="33">
        <f>SUM(AV19:AV21)</f>
        <v>1860.2999999999997</v>
      </c>
      <c r="AW22" s="1225">
        <f>AV22/$AV$73</f>
        <v>3.4092822548667683E-2</v>
      </c>
      <c r="AX22" s="224"/>
      <c r="AY22" s="226"/>
      <c r="AZ22" s="12"/>
      <c r="BA22" s="12"/>
      <c r="BB22" s="30"/>
      <c r="BC22" s="33">
        <f>SUM(BC19:BC21)</f>
        <v>1860.2999999999997</v>
      </c>
      <c r="BD22" s="1225">
        <f>BC22/$BC$73</f>
        <v>3.4216611682026485E-2</v>
      </c>
      <c r="BE22" s="224"/>
      <c r="BF22" s="226"/>
      <c r="BG22" s="12"/>
      <c r="BH22" s="12"/>
      <c r="BI22" s="30"/>
      <c r="BJ22" s="33">
        <f>SUM(BJ19:BJ21)</f>
        <v>1860.2999999999997</v>
      </c>
      <c r="BK22" s="1225">
        <f>BJ22/$BJ$73</f>
        <v>1.8545003515277193E-2</v>
      </c>
      <c r="BL22" s="224"/>
      <c r="BM22" s="226"/>
      <c r="BN22" s="12"/>
      <c r="BO22" s="12"/>
      <c r="BP22" s="30"/>
      <c r="BQ22" s="33">
        <f>SUM(BQ19:BQ21)</f>
        <v>1860.2999999999997</v>
      </c>
      <c r="BR22" s="1225">
        <f>BQ22/$BQ$73</f>
        <v>3.1550150566500415E-2</v>
      </c>
      <c r="BS22" s="224"/>
      <c r="BT22" s="226"/>
      <c r="BU22" s="12"/>
      <c r="BV22" s="12"/>
      <c r="BW22" s="30"/>
      <c r="BX22" s="33">
        <f>SUM(BX19:BX21)</f>
        <v>1860.2999999999997</v>
      </c>
      <c r="BY22" s="1225">
        <f>BX22/$BX$73</f>
        <v>3.4306656657660972E-2</v>
      </c>
      <c r="BZ22" s="224"/>
      <c r="CA22" s="226"/>
      <c r="CB22" s="12"/>
      <c r="CC22" s="12"/>
      <c r="CD22" s="30"/>
      <c r="CE22" s="33">
        <f>SUM(CE19:CE21)</f>
        <v>1860.2999999999997</v>
      </c>
      <c r="CF22" s="1225">
        <f>CE22/$CE$73</f>
        <v>3.3519078650373887E-2</v>
      </c>
      <c r="CG22" s="224"/>
      <c r="CH22" s="226"/>
      <c r="CI22" s="12"/>
      <c r="CJ22" s="12"/>
      <c r="CK22" s="30"/>
      <c r="CL22" s="33">
        <f>SUM(CL19:CL21)</f>
        <v>1860.2999999999997</v>
      </c>
      <c r="CM22" s="1225">
        <f>CL22/$CL$73</f>
        <v>3.4554844377892281E-2</v>
      </c>
      <c r="CN22" s="224"/>
      <c r="CO22" s="226"/>
      <c r="CP22" s="12"/>
      <c r="CQ22" s="12"/>
      <c r="CR22" s="30"/>
      <c r="CS22" s="33">
        <f>SUM(CS19:CS21)</f>
        <v>1860.2999999999997</v>
      </c>
      <c r="CT22" s="1225">
        <f>CS22/$CS$73</f>
        <v>3.4686263800724308E-2</v>
      </c>
      <c r="CU22" s="224"/>
      <c r="CV22" s="226"/>
      <c r="CW22" s="12"/>
      <c r="CX22" s="12"/>
      <c r="CY22" s="30"/>
      <c r="CZ22" s="33">
        <f>SUM(CZ19:CZ21)</f>
        <v>1860.2999999999997</v>
      </c>
      <c r="DA22" s="1225">
        <f>CZ22/$CZ$73</f>
        <v>3.3884660677654527E-2</v>
      </c>
      <c r="DB22" s="224"/>
      <c r="DC22" s="226"/>
      <c r="DD22" s="12"/>
      <c r="DE22" s="12"/>
      <c r="DF22" s="30"/>
      <c r="DG22" s="33">
        <f>SUM(DG19:DG21)</f>
        <v>1860.2999999999997</v>
      </c>
      <c r="DH22" s="1225">
        <f>DG22/$DG$73</f>
        <v>3.1407020439663716E-2</v>
      </c>
    </row>
    <row r="23" spans="1:112" ht="3.2" customHeight="1" x14ac:dyDescent="0.2">
      <c r="F23" s="31">
        <f>'Standard Vorgaben'!B135</f>
        <v>9</v>
      </c>
      <c r="G23" s="42">
        <f>F23/$F$73</f>
        <v>7.456784291531844E-4</v>
      </c>
      <c r="J23" s="12"/>
      <c r="K23" s="12"/>
      <c r="L23" s="30"/>
      <c r="M23" s="31"/>
      <c r="N23" s="42">
        <f t="shared" si="0"/>
        <v>0</v>
      </c>
      <c r="R23" s="46"/>
      <c r="S23" s="1"/>
      <c r="T23" s="1"/>
      <c r="U23" s="42"/>
      <c r="AB23" s="42"/>
      <c r="AI23" s="42"/>
      <c r="AP23" s="42"/>
      <c r="AW23" s="42"/>
      <c r="BD23" s="42"/>
      <c r="BK23" s="42"/>
      <c r="BN23" s="1"/>
      <c r="BO23" s="1"/>
      <c r="BP23" s="1"/>
      <c r="BQ23" s="1"/>
      <c r="BR23" s="42"/>
      <c r="BY23" s="42"/>
      <c r="CF23" s="42"/>
      <c r="CM23" s="42"/>
      <c r="CT23" s="42"/>
      <c r="DA23" s="42"/>
      <c r="DH23" s="42"/>
    </row>
    <row r="24" spans="1:112" ht="18" customHeight="1" x14ac:dyDescent="0.2">
      <c r="G24" s="42"/>
      <c r="N24" s="42">
        <f t="shared" si="0"/>
        <v>0</v>
      </c>
      <c r="O24" s="91" t="s">
        <v>487</v>
      </c>
      <c r="R24" s="46"/>
      <c r="S24" s="1"/>
      <c r="T24" s="1355">
        <f>'Standard Erstellung'!F106</f>
        <v>41770.812899999997</v>
      </c>
      <c r="U24" s="1225">
        <f t="shared" ref="U24:U34" si="1">T24/$T$73</f>
        <v>0.48765814822031528</v>
      </c>
      <c r="Y24" s="1"/>
      <c r="Z24" s="1"/>
      <c r="AA24" s="1"/>
      <c r="AB24" s="42"/>
      <c r="AG24" s="1"/>
      <c r="AH24" s="1"/>
      <c r="AI24" s="42"/>
      <c r="AL24" s="1"/>
      <c r="AM24" s="1"/>
      <c r="AN24" s="1"/>
      <c r="AO24" s="1"/>
      <c r="AP24" s="42"/>
      <c r="AT24" s="1"/>
      <c r="AU24" s="1"/>
      <c r="AV24" s="1"/>
      <c r="AW24" s="42"/>
      <c r="AX24" s="169"/>
      <c r="BC24" s="1355"/>
      <c r="BD24" s="1225"/>
      <c r="BE24" s="91" t="s">
        <v>487</v>
      </c>
      <c r="BJ24" s="1355">
        <f>'Standard Erstellung'!F106</f>
        <v>41770.812899999997</v>
      </c>
      <c r="BK24" s="1225">
        <f>BJ24/$BJ$73</f>
        <v>0.41640588725823041</v>
      </c>
      <c r="BL24" s="169"/>
      <c r="BM24" s="1"/>
      <c r="BN24" s="1"/>
      <c r="BO24" s="46"/>
      <c r="BP24" s="1"/>
      <c r="BQ24" s="714"/>
      <c r="BR24" s="1201"/>
      <c r="BV24" s="1"/>
      <c r="BW24" s="1"/>
      <c r="BX24" s="1"/>
      <c r="BY24" s="42"/>
      <c r="CF24" s="42"/>
      <c r="CG24" s="169"/>
      <c r="CH24" s="1"/>
      <c r="CI24" s="1"/>
      <c r="CJ24" s="1"/>
      <c r="CK24" s="1"/>
      <c r="CL24" s="1355"/>
      <c r="CM24" s="1225">
        <f>CL24/$CL$73</f>
        <v>0</v>
      </c>
      <c r="CQ24" s="1"/>
      <c r="CR24" s="1"/>
      <c r="CS24" s="1"/>
      <c r="CT24" s="42"/>
      <c r="CW24" s="1"/>
      <c r="CX24" s="1"/>
      <c r="CY24" s="1"/>
      <c r="CZ24" s="1"/>
      <c r="DA24" s="42"/>
      <c r="DE24" s="1"/>
      <c r="DF24" s="1"/>
      <c r="DG24" s="1"/>
      <c r="DH24" s="42"/>
    </row>
    <row r="25" spans="1:112" ht="18" customHeight="1" x14ac:dyDescent="0.2">
      <c r="A25" s="104" t="s">
        <v>170</v>
      </c>
      <c r="B25" s="109"/>
      <c r="C25" s="105"/>
      <c r="D25" s="109"/>
      <c r="E25" s="238"/>
      <c r="F25" s="79">
        <f>'Standard Vorgaben'!E187</f>
        <v>0</v>
      </c>
      <c r="G25" s="611">
        <f>F25/$F$73</f>
        <v>0</v>
      </c>
      <c r="H25" s="104" t="s">
        <v>170</v>
      </c>
      <c r="I25" s="109"/>
      <c r="J25" s="105"/>
      <c r="K25" s="109"/>
      <c r="L25" s="238"/>
      <c r="M25" s="79">
        <f>'Standard Vorgaben'!E188</f>
        <v>0</v>
      </c>
      <c r="N25" s="42">
        <f t="shared" si="0"/>
        <v>0</v>
      </c>
      <c r="O25" s="104" t="s">
        <v>170</v>
      </c>
      <c r="P25" s="109"/>
      <c r="Q25" s="105"/>
      <c r="R25" s="109"/>
      <c r="S25" s="238"/>
      <c r="T25" s="79">
        <f>'Standard Vorgaben'!$E$186</f>
        <v>400</v>
      </c>
      <c r="U25" s="1225">
        <f t="shared" si="1"/>
        <v>4.6698458982618006E-3</v>
      </c>
      <c r="V25" s="104" t="s">
        <v>170</v>
      </c>
      <c r="W25" s="109"/>
      <c r="X25" s="105"/>
      <c r="Y25" s="109"/>
      <c r="Z25" s="238"/>
      <c r="AA25" s="79">
        <f>'Standard Vorgaben'!$E$186</f>
        <v>400</v>
      </c>
      <c r="AB25" s="611">
        <f>AA25/$AA$73</f>
        <v>1.189525211713097E-2</v>
      </c>
      <c r="AC25" s="104" t="s">
        <v>170</v>
      </c>
      <c r="AD25" s="109"/>
      <c r="AE25" s="105"/>
      <c r="AF25" s="109"/>
      <c r="AG25" s="238"/>
      <c r="AH25" s="79">
        <f>'Standard Vorgaben'!$E$186</f>
        <v>400</v>
      </c>
      <c r="AI25" s="611">
        <f>AH25/$AH$73</f>
        <v>7.2803714267927148E-3</v>
      </c>
      <c r="AJ25" s="104" t="s">
        <v>170</v>
      </c>
      <c r="AK25" s="109"/>
      <c r="AL25" s="105"/>
      <c r="AM25" s="109"/>
      <c r="AN25" s="238"/>
      <c r="AO25" s="79">
        <f>'Standard Vorgaben'!$E$186</f>
        <v>400</v>
      </c>
      <c r="AP25" s="611">
        <f>AO25/$AO$73</f>
        <v>7.1145502566914752E-3</v>
      </c>
      <c r="AQ25" s="104" t="s">
        <v>170</v>
      </c>
      <c r="AR25" s="109"/>
      <c r="AS25" s="105"/>
      <c r="AT25" s="109"/>
      <c r="AU25" s="238"/>
      <c r="AV25" s="79">
        <f>'Standard Vorgaben'!$E$186</f>
        <v>400</v>
      </c>
      <c r="AW25" s="611">
        <f>AV25/$AV$73</f>
        <v>7.3306074393737972E-3</v>
      </c>
      <c r="AX25" s="104" t="s">
        <v>170</v>
      </c>
      <c r="AY25" s="109"/>
      <c r="AZ25" s="105"/>
      <c r="BA25" s="109"/>
      <c r="BB25" s="238"/>
      <c r="BC25" s="79">
        <f>'Standard Vorgaben'!$E$186</f>
        <v>400</v>
      </c>
      <c r="BD25" s="611">
        <f>BC25/$BC$73</f>
        <v>7.3572244653069907E-3</v>
      </c>
      <c r="BE25" s="104" t="s">
        <v>170</v>
      </c>
      <c r="BF25" s="109"/>
      <c r="BG25" s="105"/>
      <c r="BH25" s="109"/>
      <c r="BI25" s="238"/>
      <c r="BJ25" s="79">
        <f>'Standard Vorgaben'!$E$186</f>
        <v>400</v>
      </c>
      <c r="BK25" s="611">
        <f>BJ25/$BJ$73</f>
        <v>3.9875296490409495E-3</v>
      </c>
      <c r="BL25" s="104" t="s">
        <v>170</v>
      </c>
      <c r="BM25" s="109"/>
      <c r="BN25" s="105"/>
      <c r="BO25" s="109"/>
      <c r="BP25" s="238"/>
      <c r="BQ25" s="79">
        <f>'Standard Vorgaben'!$E$186</f>
        <v>400</v>
      </c>
      <c r="BR25" s="611">
        <f t="shared" ref="BR25:BR35" si="2">BQ25/$BQ$73</f>
        <v>6.7838844415417767E-3</v>
      </c>
      <c r="BS25" s="104" t="s">
        <v>170</v>
      </c>
      <c r="BT25" s="109"/>
      <c r="BU25" s="105"/>
      <c r="BV25" s="109"/>
      <c r="BW25" s="238"/>
      <c r="BX25" s="79">
        <f>'Standard Vorgaben'!$E$186</f>
        <v>400</v>
      </c>
      <c r="BY25" s="611">
        <f>BX25/$BX$73</f>
        <v>7.3765858533915984E-3</v>
      </c>
      <c r="BZ25" s="104" t="s">
        <v>170</v>
      </c>
      <c r="CA25" s="109"/>
      <c r="CB25" s="105"/>
      <c r="CC25" s="109"/>
      <c r="CD25" s="238"/>
      <c r="CE25" s="79">
        <f>'Standard Vorgaben'!$E$186</f>
        <v>400</v>
      </c>
      <c r="CF25" s="611">
        <f>CE25/$CE$73</f>
        <v>7.2072415525181732E-3</v>
      </c>
      <c r="CG25" s="104" t="s">
        <v>170</v>
      </c>
      <c r="CH25" s="109"/>
      <c r="CI25" s="105"/>
      <c r="CJ25" s="109"/>
      <c r="CK25" s="238"/>
      <c r="CL25" s="79">
        <f>'Standard Vorgaben'!$E$186</f>
        <v>400</v>
      </c>
      <c r="CM25" s="611">
        <f>CL25/$CL$73</f>
        <v>7.4299509493935996E-3</v>
      </c>
      <c r="CN25" s="104" t="s">
        <v>170</v>
      </c>
      <c r="CO25" s="109"/>
      <c r="CP25" s="105"/>
      <c r="CQ25" s="109"/>
      <c r="CR25" s="238"/>
      <c r="CS25" s="79">
        <f>'Standard Vorgaben'!$E$186</f>
        <v>400</v>
      </c>
      <c r="CT25" s="611">
        <f>CS25/$CS$73</f>
        <v>7.4582086331719212E-3</v>
      </c>
      <c r="CU25" s="104" t="s">
        <v>170</v>
      </c>
      <c r="CV25" s="109"/>
      <c r="CW25" s="105"/>
      <c r="CX25" s="109"/>
      <c r="CY25" s="238"/>
      <c r="CZ25" s="79">
        <f>'Standard Vorgaben'!$E$186</f>
        <v>400</v>
      </c>
      <c r="DA25" s="611">
        <f>CZ25/$CZ$73</f>
        <v>7.2858486647647217E-3</v>
      </c>
      <c r="DB25" s="104" t="s">
        <v>170</v>
      </c>
      <c r="DC25" s="109"/>
      <c r="DD25" s="105"/>
      <c r="DE25" s="109"/>
      <c r="DF25" s="238"/>
      <c r="DG25" s="79">
        <f>'Standard Vorgaben'!$E$186</f>
        <v>400</v>
      </c>
      <c r="DH25" s="611">
        <f>DG25/$DG$73</f>
        <v>6.7531087329277461E-3</v>
      </c>
    </row>
    <row r="26" spans="1:112" ht="18" customHeight="1" x14ac:dyDescent="0.2">
      <c r="A26" s="104"/>
      <c r="B26" s="1166"/>
      <c r="C26" s="105"/>
      <c r="D26" s="1166"/>
      <c r="E26" s="238"/>
      <c r="F26" s="79"/>
      <c r="G26" s="611"/>
      <c r="H26" s="104"/>
      <c r="I26" s="1166"/>
      <c r="J26" s="105"/>
      <c r="K26" s="1166"/>
      <c r="L26" s="238"/>
      <c r="M26" s="79"/>
      <c r="N26" s="42"/>
      <c r="O26" s="91" t="s">
        <v>505</v>
      </c>
      <c r="P26" s="1166"/>
      <c r="Q26" s="105"/>
      <c r="R26" s="1166"/>
      <c r="S26" s="238"/>
      <c r="T26" s="1355">
        <f>'Standard Erstellung'!$F$107</f>
        <v>0</v>
      </c>
      <c r="U26" s="1226">
        <f t="shared" si="1"/>
        <v>0</v>
      </c>
      <c r="V26" s="104"/>
      <c r="W26" s="1166"/>
      <c r="X26" s="105"/>
      <c r="Y26" s="1166"/>
      <c r="Z26" s="238"/>
      <c r="AA26" s="79"/>
      <c r="AB26" s="611"/>
      <c r="AC26" s="104"/>
      <c r="AD26" s="1166"/>
      <c r="AE26" s="105"/>
      <c r="AF26" s="1166"/>
      <c r="AG26" s="238"/>
      <c r="AH26" s="79"/>
      <c r="AI26" s="611"/>
      <c r="AJ26" s="104"/>
      <c r="AK26" s="1166"/>
      <c r="AL26" s="105"/>
      <c r="AM26" s="1166"/>
      <c r="AN26" s="238"/>
      <c r="AO26" s="79"/>
      <c r="AP26" s="611"/>
      <c r="AQ26" s="104"/>
      <c r="AR26" s="1166"/>
      <c r="AS26" s="105"/>
      <c r="AT26" s="1166"/>
      <c r="AU26" s="238"/>
      <c r="AV26" s="79"/>
      <c r="AW26" s="611"/>
      <c r="AX26" s="169"/>
      <c r="AY26" s="1220"/>
      <c r="AZ26" s="105"/>
      <c r="BA26" s="1220"/>
      <c r="BB26" s="1221"/>
      <c r="BC26" s="1156"/>
      <c r="BD26" s="1205"/>
      <c r="BE26" s="104"/>
      <c r="BF26" s="1166"/>
      <c r="BG26" s="105"/>
      <c r="BH26" s="1166"/>
      <c r="BI26" s="238"/>
      <c r="BJ26" s="79"/>
      <c r="BK26" s="611"/>
      <c r="BL26" s="91" t="s">
        <v>505</v>
      </c>
      <c r="BM26" s="1166"/>
      <c r="BN26" s="105"/>
      <c r="BO26" s="1166"/>
      <c r="BP26" s="238"/>
      <c r="BQ26" s="1355">
        <f>'Standard Erstellung'!F107</f>
        <v>0</v>
      </c>
      <c r="BR26" s="611">
        <f t="shared" si="2"/>
        <v>0</v>
      </c>
      <c r="BS26" s="104"/>
      <c r="BT26" s="1166"/>
      <c r="BU26" s="105"/>
      <c r="BV26" s="1166"/>
      <c r="BW26" s="238"/>
      <c r="BX26" s="79"/>
      <c r="BY26" s="611"/>
      <c r="BZ26" s="104"/>
      <c r="CA26" s="1166"/>
      <c r="CB26" s="105"/>
      <c r="CC26" s="1166"/>
      <c r="CD26" s="238"/>
      <c r="CE26" s="79"/>
      <c r="CF26" s="611"/>
      <c r="CG26" s="169"/>
      <c r="CH26" s="1220"/>
      <c r="CI26" s="105"/>
      <c r="CJ26" s="1220"/>
      <c r="CK26" s="1221"/>
      <c r="CL26" s="1156"/>
      <c r="CM26" s="1205"/>
      <c r="CN26" s="104"/>
      <c r="CO26" s="1166"/>
      <c r="CP26" s="105"/>
      <c r="CQ26" s="1166"/>
      <c r="CR26" s="238"/>
      <c r="CS26" s="79"/>
      <c r="CT26" s="611"/>
      <c r="CU26" s="104"/>
      <c r="CV26" s="1166"/>
      <c r="CW26" s="105"/>
      <c r="CX26" s="1166"/>
      <c r="CY26" s="238"/>
      <c r="CZ26" s="79"/>
      <c r="DA26" s="611"/>
      <c r="DB26" s="104"/>
      <c r="DC26" s="1166"/>
      <c r="DD26" s="105"/>
      <c r="DE26" s="1166"/>
      <c r="DF26" s="238"/>
      <c r="DG26" s="79"/>
      <c r="DH26" s="611"/>
    </row>
    <row r="27" spans="1:112" s="1" customFormat="1" ht="18" customHeight="1" x14ac:dyDescent="0.2">
      <c r="A27" s="104"/>
      <c r="B27" s="109"/>
      <c r="C27" s="105"/>
      <c r="D27" s="109"/>
      <c r="E27" s="238"/>
      <c r="F27" s="79"/>
      <c r="G27" s="385"/>
      <c r="H27" s="104"/>
      <c r="I27" s="109"/>
      <c r="J27" s="105"/>
      <c r="K27" s="109"/>
      <c r="L27" s="238"/>
      <c r="M27" s="79"/>
      <c r="N27" s="385"/>
      <c r="O27" s="91" t="s">
        <v>524</v>
      </c>
      <c r="P27" s="109"/>
      <c r="Q27" s="126"/>
      <c r="R27" s="109"/>
      <c r="S27" s="238"/>
      <c r="T27" s="1355">
        <f>'Standard Erstellung'!$F$109+'Standard Erstellung'!F108+'Standard Erstellung'!F110</f>
        <v>10734.9786</v>
      </c>
      <c r="U27" s="1226">
        <f t="shared" si="1"/>
        <v>0.12532673945784553</v>
      </c>
      <c r="V27" s="104"/>
      <c r="W27" s="109"/>
      <c r="X27" s="105"/>
      <c r="Y27" s="109"/>
      <c r="Z27" s="238"/>
      <c r="AA27" s="79"/>
      <c r="AB27" s="735"/>
      <c r="AC27" s="104"/>
      <c r="AD27" s="109"/>
      <c r="AE27" s="105"/>
      <c r="AF27" s="109"/>
      <c r="AG27" s="238"/>
      <c r="AH27" s="79"/>
      <c r="AI27" s="735"/>
      <c r="AJ27" s="104"/>
      <c r="AK27" s="109"/>
      <c r="AL27" s="105"/>
      <c r="AM27" s="109"/>
      <c r="AN27" s="238"/>
      <c r="AO27" s="79"/>
      <c r="AP27" s="735"/>
      <c r="AQ27" s="104"/>
      <c r="AR27" s="109"/>
      <c r="AS27" s="105"/>
      <c r="AT27" s="109"/>
      <c r="AU27" s="238"/>
      <c r="AV27" s="79"/>
      <c r="AW27" s="735"/>
      <c r="AX27" s="169"/>
      <c r="AY27" s="1220"/>
      <c r="AZ27" s="105"/>
      <c r="BA27" s="1220"/>
      <c r="BB27" s="1221"/>
      <c r="BC27" s="1156"/>
      <c r="BD27" s="1205"/>
      <c r="BE27" s="104"/>
      <c r="BF27" s="109"/>
      <c r="BG27" s="105"/>
      <c r="BH27" s="109"/>
      <c r="BI27" s="238"/>
      <c r="BJ27" s="79"/>
      <c r="BK27" s="735"/>
      <c r="BL27" s="91" t="s">
        <v>521</v>
      </c>
      <c r="BM27" s="109"/>
      <c r="BN27" s="105"/>
      <c r="BO27" s="109"/>
      <c r="BP27" s="238"/>
      <c r="BQ27" s="1355">
        <f>'Standard Erstellung'!F109</f>
        <v>3470.0099999999998</v>
      </c>
      <c r="BR27" s="611">
        <f t="shared" si="2"/>
        <v>5.8850367127485946E-2</v>
      </c>
      <c r="BS27" s="104"/>
      <c r="BT27" s="109"/>
      <c r="BU27" s="105"/>
      <c r="BV27" s="109"/>
      <c r="BW27" s="238"/>
      <c r="BX27" s="79"/>
      <c r="BY27" s="735"/>
      <c r="BZ27" s="104"/>
      <c r="CA27" s="109"/>
      <c r="CB27" s="105"/>
      <c r="CC27" s="109"/>
      <c r="CD27" s="238"/>
      <c r="CE27" s="79"/>
      <c r="CF27" s="735"/>
      <c r="CG27" s="169"/>
      <c r="CH27" s="1220"/>
      <c r="CI27" s="105"/>
      <c r="CJ27" s="1220"/>
      <c r="CK27" s="1221"/>
      <c r="CL27" s="1156"/>
      <c r="CM27" s="1205"/>
      <c r="CN27" s="104"/>
      <c r="CO27" s="109"/>
      <c r="CP27" s="105"/>
      <c r="CQ27" s="109"/>
      <c r="CR27" s="238"/>
      <c r="CS27" s="79"/>
      <c r="CT27" s="735"/>
      <c r="CU27" s="104"/>
      <c r="CV27" s="109"/>
      <c r="CW27" s="105"/>
      <c r="CX27" s="109"/>
      <c r="CY27" s="238"/>
      <c r="CZ27" s="79"/>
      <c r="DA27" s="735"/>
      <c r="DB27" s="104"/>
      <c r="DC27" s="109"/>
      <c r="DD27" s="105"/>
      <c r="DE27" s="109"/>
      <c r="DF27" s="238"/>
      <c r="DG27" s="79"/>
      <c r="DH27" s="735"/>
    </row>
    <row r="28" spans="1:112" ht="18" customHeight="1" x14ac:dyDescent="0.2">
      <c r="A28" s="62" t="s">
        <v>459</v>
      </c>
      <c r="B28" s="1" t="str">
        <f>'Standard Vorgaben'!$F$33</f>
        <v>Tafelkirschen</v>
      </c>
      <c r="C28" s="4" t="s">
        <v>177</v>
      </c>
      <c r="D28" s="45"/>
      <c r="E28" s="61"/>
      <c r="F28" s="61">
        <f>'Standard Vorgaben'!$G$33</f>
        <v>325</v>
      </c>
      <c r="G28" s="42">
        <f t="shared" ref="G28:G36" si="3">F28/$F$73</f>
        <v>2.6927276608309438E-2</v>
      </c>
      <c r="H28" s="62" t="str">
        <f>$A$28</f>
        <v>Abzüge und Branchenbeiträge</v>
      </c>
      <c r="I28" s="1" t="str">
        <f>'Standard Vorgaben'!$F$33</f>
        <v>Tafelkirschen</v>
      </c>
      <c r="J28" s="4" t="s">
        <v>177</v>
      </c>
      <c r="K28" s="45"/>
      <c r="L28" s="61"/>
      <c r="M28" s="61">
        <f>'Standard Vorgaben'!$G$33</f>
        <v>325</v>
      </c>
      <c r="N28" s="42">
        <f t="shared" ref="N28:N35" si="4">M28/$M$73</f>
        <v>2.6636349253382818E-2</v>
      </c>
      <c r="O28" s="62" t="str">
        <f>$A$28</f>
        <v>Abzüge und Branchenbeiträge</v>
      </c>
      <c r="P28" s="1" t="str">
        <f>'Standard Vorgaben'!$F$33</f>
        <v>Tafelkirschen</v>
      </c>
      <c r="Q28" s="4" t="s">
        <v>177</v>
      </c>
      <c r="R28" s="45"/>
      <c r="S28" s="61"/>
      <c r="T28" s="61">
        <f>'Standard Vorgaben'!$G$33</f>
        <v>325</v>
      </c>
      <c r="U28" s="1120">
        <f t="shared" si="1"/>
        <v>3.7942497923377132E-3</v>
      </c>
      <c r="V28" s="62" t="str">
        <f>$A$28</f>
        <v>Abzüge und Branchenbeiträge</v>
      </c>
      <c r="W28" s="1" t="str">
        <f>'Standard Vorgaben'!$F$33</f>
        <v>Tafelkirschen</v>
      </c>
      <c r="X28" s="4" t="s">
        <v>177</v>
      </c>
      <c r="Y28" s="45"/>
      <c r="Z28" s="61"/>
      <c r="AA28" s="61">
        <f>'Standard Vorgaben'!$G$33</f>
        <v>325</v>
      </c>
      <c r="AB28" s="42">
        <f t="shared" ref="AB28:AB35" si="5">AA28/$AA$73</f>
        <v>9.6648923451689139E-3</v>
      </c>
      <c r="AC28" s="62" t="str">
        <f>$A$28</f>
        <v>Abzüge und Branchenbeiträge</v>
      </c>
      <c r="AD28" s="1" t="str">
        <f>'Standard Vorgaben'!$F$33</f>
        <v>Tafelkirschen</v>
      </c>
      <c r="AE28" s="4" t="s">
        <v>177</v>
      </c>
      <c r="AF28" s="45"/>
      <c r="AG28" s="61"/>
      <c r="AH28" s="61">
        <f>'Standard Vorgaben'!$G$33</f>
        <v>325</v>
      </c>
      <c r="AI28" s="42">
        <f t="shared" ref="AI28:AI35" si="6">AH28/$AH$73</f>
        <v>5.9153017842690806E-3</v>
      </c>
      <c r="AJ28" s="62" t="str">
        <f>$A$28</f>
        <v>Abzüge und Branchenbeiträge</v>
      </c>
      <c r="AK28" s="1" t="str">
        <f>'Standard Vorgaben'!$F$33</f>
        <v>Tafelkirschen</v>
      </c>
      <c r="AL28" s="4" t="s">
        <v>177</v>
      </c>
      <c r="AM28" s="45"/>
      <c r="AN28" s="61"/>
      <c r="AO28" s="61">
        <f>'Standard Vorgaben'!$G$33</f>
        <v>325</v>
      </c>
      <c r="AP28" s="42">
        <f t="shared" ref="AP28:AP35" si="7">AO28/$AO$73</f>
        <v>5.7805720835618236E-3</v>
      </c>
      <c r="AQ28" s="62" t="str">
        <f>$A$28</f>
        <v>Abzüge und Branchenbeiträge</v>
      </c>
      <c r="AR28" s="1" t="str">
        <f>'Standard Vorgaben'!$F$33</f>
        <v>Tafelkirschen</v>
      </c>
      <c r="AS28" s="4" t="s">
        <v>177</v>
      </c>
      <c r="AT28" s="45"/>
      <c r="AU28" s="61"/>
      <c r="AV28" s="61">
        <f>'Standard Vorgaben'!$G$33</f>
        <v>325</v>
      </c>
      <c r="AW28" s="42">
        <f t="shared" ref="AW28:AW35" si="8">AV28/$AV$73</f>
        <v>5.9561185444912098E-3</v>
      </c>
      <c r="AX28" s="62" t="str">
        <f>$A$28</f>
        <v>Abzüge und Branchenbeiträge</v>
      </c>
      <c r="AY28" s="1" t="str">
        <f>'Standard Vorgaben'!$F$33</f>
        <v>Tafelkirschen</v>
      </c>
      <c r="AZ28" s="4" t="s">
        <v>177</v>
      </c>
      <c r="BA28" s="45"/>
      <c r="BB28" s="61"/>
      <c r="BC28" s="61">
        <f>'Standard Vorgaben'!$G$33</f>
        <v>325</v>
      </c>
      <c r="BD28" s="42">
        <f t="shared" ref="BD28:BD35" si="9">BC28/$BC$73</f>
        <v>5.9777448780619306E-3</v>
      </c>
      <c r="BE28" s="62" t="str">
        <f>$A$28</f>
        <v>Abzüge und Branchenbeiträge</v>
      </c>
      <c r="BF28" s="1" t="str">
        <f>'Standard Vorgaben'!$F$33</f>
        <v>Tafelkirschen</v>
      </c>
      <c r="BG28" s="4" t="s">
        <v>177</v>
      </c>
      <c r="BH28" s="45"/>
      <c r="BI28" s="61"/>
      <c r="BJ28" s="61">
        <f>'Standard Vorgaben'!$G$33</f>
        <v>325</v>
      </c>
      <c r="BK28" s="42">
        <f t="shared" ref="BK28:BK35" si="10">BJ28/$BJ$73</f>
        <v>3.2398678398457715E-3</v>
      </c>
      <c r="BL28" s="62" t="str">
        <f>$A$28</f>
        <v>Abzüge und Branchenbeiträge</v>
      </c>
      <c r="BM28" s="1" t="str">
        <f>'Standard Vorgaben'!$F$33</f>
        <v>Tafelkirschen</v>
      </c>
      <c r="BN28" s="4" t="s">
        <v>177</v>
      </c>
      <c r="BO28" s="45"/>
      <c r="BP28" s="61"/>
      <c r="BQ28" s="61">
        <f>'Standard Vorgaben'!$G$33</f>
        <v>325</v>
      </c>
      <c r="BR28" s="42">
        <f t="shared" si="2"/>
        <v>5.5119061087526939E-3</v>
      </c>
      <c r="BS28" s="62" t="str">
        <f>$A$28</f>
        <v>Abzüge und Branchenbeiträge</v>
      </c>
      <c r="BT28" s="1" t="str">
        <f>'Standard Vorgaben'!$F$33</f>
        <v>Tafelkirschen</v>
      </c>
      <c r="BU28" s="4" t="s">
        <v>177</v>
      </c>
      <c r="BV28" s="45"/>
      <c r="BW28" s="61"/>
      <c r="BX28" s="61">
        <f>'Standard Vorgaben'!$G$33</f>
        <v>325</v>
      </c>
      <c r="BY28" s="42">
        <f t="shared" ref="BY28:BY35" si="11">BX28/$BX$73</f>
        <v>5.9934760058806737E-3</v>
      </c>
      <c r="BZ28" s="62" t="str">
        <f>$A$28</f>
        <v>Abzüge und Branchenbeiträge</v>
      </c>
      <c r="CA28" s="1" t="str">
        <f>'Standard Vorgaben'!$F$33</f>
        <v>Tafelkirschen</v>
      </c>
      <c r="CB28" s="4" t="s">
        <v>177</v>
      </c>
      <c r="CC28" s="45"/>
      <c r="CD28" s="61"/>
      <c r="CE28" s="61">
        <f>'Standard Vorgaben'!$G$33</f>
        <v>325</v>
      </c>
      <c r="CF28" s="42">
        <f t="shared" ref="CF28:CF35" si="12">CE28/$CE$73</f>
        <v>5.8558837614210157E-3</v>
      </c>
      <c r="CG28" s="62" t="str">
        <f>$A$28</f>
        <v>Abzüge und Branchenbeiträge</v>
      </c>
      <c r="CH28" s="1" t="str">
        <f>'Standard Vorgaben'!$F$33</f>
        <v>Tafelkirschen</v>
      </c>
      <c r="CI28" s="4" t="s">
        <v>177</v>
      </c>
      <c r="CJ28" s="45"/>
      <c r="CK28" s="61"/>
      <c r="CL28" s="61">
        <f>'Standard Vorgaben'!$G$33</f>
        <v>325</v>
      </c>
      <c r="CM28" s="42">
        <f t="shared" ref="CM28:CM35" si="13">CL28/$CL$73</f>
        <v>6.0368351463822995E-3</v>
      </c>
      <c r="CN28" s="62" t="str">
        <f>$A$28</f>
        <v>Abzüge und Branchenbeiträge</v>
      </c>
      <c r="CO28" s="1" t="str">
        <f>'Standard Vorgaben'!$F$33</f>
        <v>Tafelkirschen</v>
      </c>
      <c r="CP28" s="4" t="s">
        <v>177</v>
      </c>
      <c r="CQ28" s="45"/>
      <c r="CR28" s="61"/>
      <c r="CS28" s="61">
        <f>'Standard Vorgaben'!$G$33</f>
        <v>325</v>
      </c>
      <c r="CT28" s="42">
        <f t="shared" ref="CT28:CT35" si="14">CS28/$CS$73</f>
        <v>6.059794514452186E-3</v>
      </c>
      <c r="CU28" s="62" t="str">
        <f>$A$28</f>
        <v>Abzüge und Branchenbeiträge</v>
      </c>
      <c r="CV28" s="1" t="str">
        <f>'Standard Vorgaben'!$F$33</f>
        <v>Tafelkirschen</v>
      </c>
      <c r="CW28" s="4" t="s">
        <v>177</v>
      </c>
      <c r="CX28" s="45"/>
      <c r="CY28" s="61"/>
      <c r="CZ28" s="61">
        <f>'Standard Vorgaben'!$G$33</f>
        <v>325</v>
      </c>
      <c r="DA28" s="42">
        <f t="shared" ref="DA28:DA35" si="15">CZ28/$CZ$73</f>
        <v>5.9197520401213363E-3</v>
      </c>
      <c r="DB28" s="62" t="str">
        <f>$A$28</f>
        <v>Abzüge und Branchenbeiträge</v>
      </c>
      <c r="DC28" s="1" t="str">
        <f>'Standard Vorgaben'!$F$33</f>
        <v>Tafelkirschen</v>
      </c>
      <c r="DD28" s="4" t="s">
        <v>177</v>
      </c>
      <c r="DE28" s="45"/>
      <c r="DF28" s="61"/>
      <c r="DG28" s="61">
        <f>'Standard Vorgaben'!$G$33</f>
        <v>325</v>
      </c>
      <c r="DH28" s="42">
        <f t="shared" ref="DH28:DH35" si="16">DG28/$DG$73</f>
        <v>5.486900845503794E-3</v>
      </c>
    </row>
    <row r="29" spans="1:112" ht="18" customHeight="1" x14ac:dyDescent="0.2">
      <c r="B29" s="4" t="str">
        <f>'Standard Vorgaben'!$F$34</f>
        <v>Brennkirschen</v>
      </c>
      <c r="C29" s="4" t="s">
        <v>65</v>
      </c>
      <c r="D29" s="45"/>
      <c r="E29" s="61">
        <f>'Standard Vorgaben'!$G$34</f>
        <v>2.57</v>
      </c>
      <c r="F29" s="116">
        <f>E29*D9*0.75/100</f>
        <v>0</v>
      </c>
      <c r="G29" s="42">
        <f t="shared" si="3"/>
        <v>0</v>
      </c>
      <c r="H29" s="17"/>
      <c r="I29" s="4" t="str">
        <f>'Standard Vorgaben'!$F$34</f>
        <v>Brennkirschen</v>
      </c>
      <c r="J29" s="4" t="s">
        <v>65</v>
      </c>
      <c r="K29" s="45"/>
      <c r="L29" s="61">
        <f>'Standard Vorgaben'!$G$34</f>
        <v>2.57</v>
      </c>
      <c r="M29" s="116">
        <f>L29*K9*0.75/100</f>
        <v>0</v>
      </c>
      <c r="N29" s="42">
        <f t="shared" si="4"/>
        <v>0</v>
      </c>
      <c r="O29" s="17"/>
      <c r="P29" s="4" t="str">
        <f>'Standard Vorgaben'!$F$34</f>
        <v>Brennkirschen</v>
      </c>
      <c r="Q29" s="4" t="s">
        <v>65</v>
      </c>
      <c r="R29" s="45"/>
      <c r="S29" s="61">
        <f>'Standard Vorgaben'!$G$34</f>
        <v>2.57</v>
      </c>
      <c r="T29" s="116">
        <f>S29*R9*0.75/100</f>
        <v>2.1106124999999998</v>
      </c>
      <c r="U29" s="42">
        <f t="shared" si="1"/>
        <v>2.4640587814862711E-5</v>
      </c>
      <c r="V29" s="17"/>
      <c r="W29" s="4" t="str">
        <f>'Standard Vorgaben'!$F$34</f>
        <v>Brennkirschen</v>
      </c>
      <c r="X29" s="4" t="s">
        <v>65</v>
      </c>
      <c r="Y29" s="45"/>
      <c r="Z29" s="61">
        <f>'Standard Vorgaben'!$G$34</f>
        <v>2.57</v>
      </c>
      <c r="AA29" s="116">
        <f>Z29*Y9*0.75/100</f>
        <v>7.0353749999999993</v>
      </c>
      <c r="AB29" s="42">
        <f t="shared" si="5"/>
        <v>2.0921889840890071E-4</v>
      </c>
      <c r="AC29" s="17"/>
      <c r="AD29" s="4" t="str">
        <f>'Standard Vorgaben'!$F$34</f>
        <v>Brennkirschen</v>
      </c>
      <c r="AE29" s="4" t="s">
        <v>65</v>
      </c>
      <c r="AF29" s="45"/>
      <c r="AG29" s="61">
        <f>'Standard Vorgaben'!$G$34</f>
        <v>2.57</v>
      </c>
      <c r="AH29" s="116">
        <f>AG29*AF9*0.75/100</f>
        <v>19.274999999999999</v>
      </c>
      <c r="AI29" s="42">
        <f t="shared" si="6"/>
        <v>3.5082289812857394E-4</v>
      </c>
      <c r="AJ29" s="17"/>
      <c r="AK29" s="4" t="str">
        <f>'Standard Vorgaben'!$F$34</f>
        <v>Brennkirschen</v>
      </c>
      <c r="AL29" s="4" t="s">
        <v>65</v>
      </c>
      <c r="AM29" s="45"/>
      <c r="AN29" s="61">
        <f>'Standard Vorgaben'!$G$34</f>
        <v>2.57</v>
      </c>
      <c r="AO29" s="116">
        <f>AN29*AM9*0.75/100</f>
        <v>19.274999999999999</v>
      </c>
      <c r="AP29" s="42">
        <f t="shared" si="7"/>
        <v>3.4283239049432042E-4</v>
      </c>
      <c r="AQ29" s="17"/>
      <c r="AR29" s="4" t="str">
        <f>'Standard Vorgaben'!$F$34</f>
        <v>Brennkirschen</v>
      </c>
      <c r="AS29" s="4" t="s">
        <v>65</v>
      </c>
      <c r="AT29" s="45"/>
      <c r="AU29" s="61">
        <f>'Standard Vorgaben'!$G$34</f>
        <v>2.57</v>
      </c>
      <c r="AV29" s="116">
        <f>AU29*AT9*0.75/100</f>
        <v>19.274999999999999</v>
      </c>
      <c r="AW29" s="42">
        <f t="shared" si="8"/>
        <v>3.5324364598482481E-4</v>
      </c>
      <c r="AX29" s="17"/>
      <c r="AY29" s="4" t="str">
        <f>'Standard Vorgaben'!$F$34</f>
        <v>Brennkirschen</v>
      </c>
      <c r="AZ29" s="4" t="s">
        <v>65</v>
      </c>
      <c r="BA29" s="45"/>
      <c r="BB29" s="61">
        <f>'Standard Vorgaben'!$G$34</f>
        <v>2.57</v>
      </c>
      <c r="BC29" s="116">
        <f>BB29*BA9*0.75/100</f>
        <v>19.274999999999999</v>
      </c>
      <c r="BD29" s="42">
        <f t="shared" si="9"/>
        <v>3.5452625392198058E-4</v>
      </c>
      <c r="BE29" s="17"/>
      <c r="BF29" s="4" t="str">
        <f>'Standard Vorgaben'!$F$34</f>
        <v>Brennkirschen</v>
      </c>
      <c r="BG29" s="4" t="s">
        <v>65</v>
      </c>
      <c r="BH29" s="45"/>
      <c r="BI29" s="61">
        <f>'Standard Vorgaben'!$G$34</f>
        <v>2.57</v>
      </c>
      <c r="BJ29" s="116">
        <f>BI29*BH9*0.75/100</f>
        <v>19.274999999999999</v>
      </c>
      <c r="BK29" s="42">
        <f t="shared" si="10"/>
        <v>1.9214908496316074E-4</v>
      </c>
      <c r="BL29" s="17"/>
      <c r="BM29" s="4" t="str">
        <f>'Standard Vorgaben'!$F$34</f>
        <v>Brennkirschen</v>
      </c>
      <c r="BN29" s="4" t="s">
        <v>65</v>
      </c>
      <c r="BO29" s="45"/>
      <c r="BP29" s="61">
        <f>'Standard Vorgaben'!$G$34</f>
        <v>2.57</v>
      </c>
      <c r="BQ29" s="116">
        <f>BP29*BO9*0.75/100</f>
        <v>19.274999999999999</v>
      </c>
      <c r="BR29" s="42">
        <f t="shared" si="2"/>
        <v>3.2689843152679433E-4</v>
      </c>
      <c r="BS29" s="17"/>
      <c r="BT29" s="4" t="str">
        <f>'Standard Vorgaben'!$F$34</f>
        <v>Brennkirschen</v>
      </c>
      <c r="BU29" s="4" t="s">
        <v>65</v>
      </c>
      <c r="BV29" s="45"/>
      <c r="BW29" s="61">
        <f>'Standard Vorgaben'!$G$34</f>
        <v>2.57</v>
      </c>
      <c r="BX29" s="116">
        <f>BW29*BV9*0.75/100</f>
        <v>19.274999999999999</v>
      </c>
      <c r="BY29" s="42">
        <f t="shared" si="11"/>
        <v>3.5545923081030763E-4</v>
      </c>
      <c r="BZ29" s="17"/>
      <c r="CA29" s="4" t="str">
        <f>'Standard Vorgaben'!$F$34</f>
        <v>Brennkirschen</v>
      </c>
      <c r="CB29" s="4" t="s">
        <v>65</v>
      </c>
      <c r="CC29" s="45"/>
      <c r="CD29" s="61">
        <f>'Standard Vorgaben'!$G$34</f>
        <v>2.57</v>
      </c>
      <c r="CE29" s="116">
        <f>CD29*CC9*0.75/100</f>
        <v>19.274999999999999</v>
      </c>
      <c r="CF29" s="42">
        <f t="shared" si="12"/>
        <v>3.4729895231196942E-4</v>
      </c>
      <c r="CG29" s="17"/>
      <c r="CH29" s="4" t="str">
        <f>'Standard Vorgaben'!$F$34</f>
        <v>Brennkirschen</v>
      </c>
      <c r="CI29" s="4" t="s">
        <v>65</v>
      </c>
      <c r="CJ29" s="45"/>
      <c r="CK29" s="61">
        <f>'Standard Vorgaben'!$G$34</f>
        <v>2.57</v>
      </c>
      <c r="CL29" s="116">
        <f>CK29*CJ9*0.75/100</f>
        <v>19.274999999999999</v>
      </c>
      <c r="CM29" s="42">
        <f t="shared" si="13"/>
        <v>3.5803076137390404E-4</v>
      </c>
      <c r="CN29" s="17"/>
      <c r="CO29" s="4" t="str">
        <f>'Standard Vorgaben'!$F$34</f>
        <v>Brennkirschen</v>
      </c>
      <c r="CP29" s="4" t="s">
        <v>65</v>
      </c>
      <c r="CQ29" s="45"/>
      <c r="CR29" s="61">
        <f>'Standard Vorgaben'!$G$34</f>
        <v>2.57</v>
      </c>
      <c r="CS29" s="116">
        <f>CR29*CQ9*0.75/100</f>
        <v>19.274999999999999</v>
      </c>
      <c r="CT29" s="42">
        <f t="shared" si="14"/>
        <v>3.5939242851097192E-4</v>
      </c>
      <c r="CU29" s="17"/>
      <c r="CV29" s="4" t="str">
        <f>'Standard Vorgaben'!$F$34</f>
        <v>Brennkirschen</v>
      </c>
      <c r="CW29" s="4" t="s">
        <v>65</v>
      </c>
      <c r="CX29" s="45"/>
      <c r="CY29" s="61">
        <f>'Standard Vorgaben'!$G$34</f>
        <v>2.57</v>
      </c>
      <c r="CZ29" s="116">
        <f>CY29*CX9*0.75/100</f>
        <v>19.274999999999999</v>
      </c>
      <c r="DA29" s="42">
        <f t="shared" si="15"/>
        <v>3.5108683253335E-4</v>
      </c>
      <c r="DB29" s="17"/>
      <c r="DC29" s="4" t="str">
        <f>'Standard Vorgaben'!$F$34</f>
        <v>Brennkirschen</v>
      </c>
      <c r="DD29" s="4" t="s">
        <v>65</v>
      </c>
      <c r="DE29" s="45"/>
      <c r="DF29" s="61">
        <f>'Standard Vorgaben'!$G$34</f>
        <v>2.57</v>
      </c>
      <c r="DG29" s="116">
        <f>DF29*DE9*0.75/100</f>
        <v>19.274999999999999</v>
      </c>
      <c r="DH29" s="42">
        <f t="shared" si="16"/>
        <v>3.2541542706795577E-4</v>
      </c>
    </row>
    <row r="30" spans="1:112" ht="18" customHeight="1" thickBot="1" x14ac:dyDescent="0.25">
      <c r="A30" s="130"/>
      <c r="B30" s="1" t="str">
        <f>'Standard Vorgaben'!$F$35</f>
        <v>Abzug</v>
      </c>
      <c r="C30" s="4" t="s">
        <v>460</v>
      </c>
      <c r="D30" s="45"/>
      <c r="E30" s="61">
        <f>'Standard Vorgaben'!$G$35</f>
        <v>0.25</v>
      </c>
      <c r="F30" s="607">
        <f>D10*E30</f>
        <v>0</v>
      </c>
      <c r="G30" s="42">
        <f t="shared" si="3"/>
        <v>0</v>
      </c>
      <c r="H30" s="130"/>
      <c r="I30" s="1" t="str">
        <f>'Standard Vorgaben'!$F$35</f>
        <v>Abzug</v>
      </c>
      <c r="J30" s="4" t="s">
        <v>460</v>
      </c>
      <c r="K30" s="45"/>
      <c r="L30" s="61">
        <f>'Standard Vorgaben'!$G$35</f>
        <v>0.25</v>
      </c>
      <c r="M30" s="607">
        <f>K10*L30</f>
        <v>0</v>
      </c>
      <c r="N30" s="42">
        <f t="shared" si="4"/>
        <v>0</v>
      </c>
      <c r="O30" s="154"/>
      <c r="P30" s="1" t="str">
        <f>'Standard Vorgaben'!$F$35</f>
        <v>Abzug</v>
      </c>
      <c r="Q30" s="4" t="s">
        <v>460</v>
      </c>
      <c r="R30" s="45"/>
      <c r="S30" s="61">
        <f>'Standard Vorgaben'!$G$35</f>
        <v>0.25</v>
      </c>
      <c r="T30" s="607">
        <f>R10*S30</f>
        <v>273.75</v>
      </c>
      <c r="U30" s="42">
        <f t="shared" si="1"/>
        <v>3.1959257866229201E-3</v>
      </c>
      <c r="V30" s="130"/>
      <c r="W30" s="1" t="str">
        <f>'Standard Vorgaben'!$F$35</f>
        <v>Abzug</v>
      </c>
      <c r="X30" s="4" t="s">
        <v>460</v>
      </c>
      <c r="Y30" s="45"/>
      <c r="Z30" s="61">
        <f>'Standard Vorgaben'!$G$35</f>
        <v>0.25</v>
      </c>
      <c r="AA30" s="607">
        <f>Y10*Z30</f>
        <v>912.5</v>
      </c>
      <c r="AB30" s="42">
        <f t="shared" si="5"/>
        <v>2.7136043892205027E-2</v>
      </c>
      <c r="AC30" s="130"/>
      <c r="AD30" s="1" t="str">
        <f>'Standard Vorgaben'!$F$35</f>
        <v>Abzug</v>
      </c>
      <c r="AE30" s="4" t="s">
        <v>460</v>
      </c>
      <c r="AF30" s="45"/>
      <c r="AG30" s="61">
        <f>'Standard Vorgaben'!$G$35</f>
        <v>0.25</v>
      </c>
      <c r="AH30" s="607">
        <f>AF10*AG30</f>
        <v>2500</v>
      </c>
      <c r="AI30" s="42">
        <f t="shared" si="6"/>
        <v>4.5502321417454472E-2</v>
      </c>
      <c r="AJ30" s="130"/>
      <c r="AK30" s="1" t="str">
        <f>'Standard Vorgaben'!$F$35</f>
        <v>Abzug</v>
      </c>
      <c r="AL30" s="4" t="s">
        <v>460</v>
      </c>
      <c r="AM30" s="45"/>
      <c r="AN30" s="61">
        <f>'Standard Vorgaben'!$G$35</f>
        <v>0.25</v>
      </c>
      <c r="AO30" s="607">
        <f>AM10*AN30</f>
        <v>2500</v>
      </c>
      <c r="AP30" s="42">
        <f t="shared" si="7"/>
        <v>4.4465939104321721E-2</v>
      </c>
      <c r="AQ30" s="130"/>
      <c r="AR30" s="1" t="str">
        <f>'Standard Vorgaben'!$F$35</f>
        <v>Abzug</v>
      </c>
      <c r="AS30" s="4" t="s">
        <v>460</v>
      </c>
      <c r="AT30" s="45"/>
      <c r="AU30" s="61">
        <f>'Standard Vorgaben'!$G$35</f>
        <v>0.25</v>
      </c>
      <c r="AV30" s="607">
        <f>AT10*AU30</f>
        <v>2500</v>
      </c>
      <c r="AW30" s="42">
        <f t="shared" si="8"/>
        <v>4.5816296496086234E-2</v>
      </c>
      <c r="AX30" s="130"/>
      <c r="AY30" s="1" t="str">
        <f>'Standard Vorgaben'!$F$35</f>
        <v>Abzug</v>
      </c>
      <c r="AZ30" s="4" t="s">
        <v>460</v>
      </c>
      <c r="BA30" s="45"/>
      <c r="BB30" s="61">
        <f>'Standard Vorgaben'!$G$35</f>
        <v>0.25</v>
      </c>
      <c r="BC30" s="607">
        <f>BA10*BB30</f>
        <v>2500</v>
      </c>
      <c r="BD30" s="42">
        <f t="shared" si="9"/>
        <v>4.5982652908168692E-2</v>
      </c>
      <c r="BE30" s="130"/>
      <c r="BF30" s="1" t="str">
        <f>'Standard Vorgaben'!$F$35</f>
        <v>Abzug</v>
      </c>
      <c r="BG30" s="4" t="s">
        <v>460</v>
      </c>
      <c r="BH30" s="45"/>
      <c r="BI30" s="61">
        <f>'Standard Vorgaben'!$G$35</f>
        <v>0.25</v>
      </c>
      <c r="BJ30" s="607">
        <f>BH10*BI30</f>
        <v>2500</v>
      </c>
      <c r="BK30" s="42">
        <f t="shared" si="10"/>
        <v>2.4922060306505935E-2</v>
      </c>
      <c r="BL30" s="130"/>
      <c r="BM30" s="1" t="str">
        <f>'Standard Vorgaben'!$F$35</f>
        <v>Abzug</v>
      </c>
      <c r="BN30" s="4" t="s">
        <v>460</v>
      </c>
      <c r="BO30" s="45"/>
      <c r="BP30" s="61">
        <f>'Standard Vorgaben'!$G$35</f>
        <v>0.25</v>
      </c>
      <c r="BQ30" s="607">
        <f>BO10*BP30</f>
        <v>2500</v>
      </c>
      <c r="BR30" s="42">
        <f t="shared" si="2"/>
        <v>4.2399277759636103E-2</v>
      </c>
      <c r="BS30" s="130"/>
      <c r="BT30" s="1" t="str">
        <f>'Standard Vorgaben'!$F$35</f>
        <v>Abzug</v>
      </c>
      <c r="BU30" s="4" t="s">
        <v>460</v>
      </c>
      <c r="BV30" s="45"/>
      <c r="BW30" s="61">
        <f>'Standard Vorgaben'!$G$35</f>
        <v>0.25</v>
      </c>
      <c r="BX30" s="607">
        <f>BV10*BW30</f>
        <v>2500</v>
      </c>
      <c r="BY30" s="42">
        <f t="shared" si="11"/>
        <v>4.610366158369749E-2</v>
      </c>
      <c r="BZ30" s="130"/>
      <c r="CA30" s="1" t="str">
        <f>'Standard Vorgaben'!$F$35</f>
        <v>Abzug</v>
      </c>
      <c r="CB30" s="4" t="s">
        <v>460</v>
      </c>
      <c r="CC30" s="45"/>
      <c r="CD30" s="61">
        <f>'Standard Vorgaben'!$G$35</f>
        <v>0.25</v>
      </c>
      <c r="CE30" s="607">
        <f>CC10*CD30</f>
        <v>2500</v>
      </c>
      <c r="CF30" s="42">
        <f t="shared" si="12"/>
        <v>4.5045259703238583E-2</v>
      </c>
      <c r="CG30" s="130"/>
      <c r="CH30" s="1" t="str">
        <f>'Standard Vorgaben'!$F$35</f>
        <v>Abzug</v>
      </c>
      <c r="CI30" s="4" t="s">
        <v>460</v>
      </c>
      <c r="CJ30" s="45"/>
      <c r="CK30" s="61">
        <f>'Standard Vorgaben'!$G$35</f>
        <v>0.25</v>
      </c>
      <c r="CL30" s="607">
        <f>CJ10*CK30</f>
        <v>2500</v>
      </c>
      <c r="CM30" s="42">
        <f t="shared" si="13"/>
        <v>4.643719343371E-2</v>
      </c>
      <c r="CN30" s="130"/>
      <c r="CO30" s="1" t="str">
        <f>'Standard Vorgaben'!$F$35</f>
        <v>Abzug</v>
      </c>
      <c r="CP30" s="4" t="s">
        <v>460</v>
      </c>
      <c r="CQ30" s="45"/>
      <c r="CR30" s="61">
        <f>'Standard Vorgaben'!$G$35</f>
        <v>0.25</v>
      </c>
      <c r="CS30" s="607">
        <f>CQ10*CR30</f>
        <v>2500</v>
      </c>
      <c r="CT30" s="42">
        <f t="shared" si="14"/>
        <v>4.6613803957324507E-2</v>
      </c>
      <c r="CU30" s="130"/>
      <c r="CV30" s="1" t="str">
        <f>'Standard Vorgaben'!$F$35</f>
        <v>Abzug</v>
      </c>
      <c r="CW30" s="4" t="s">
        <v>460</v>
      </c>
      <c r="CX30" s="45"/>
      <c r="CY30" s="61">
        <f>'Standard Vorgaben'!$G$35</f>
        <v>0.25</v>
      </c>
      <c r="CZ30" s="607">
        <f>CX10*CY30</f>
        <v>2500</v>
      </c>
      <c r="DA30" s="42">
        <f t="shared" si="15"/>
        <v>4.5536554154779509E-2</v>
      </c>
      <c r="DB30" s="130"/>
      <c r="DC30" s="1" t="str">
        <f>'Standard Vorgaben'!$F$35</f>
        <v>Abzug</v>
      </c>
      <c r="DD30" s="4" t="s">
        <v>460</v>
      </c>
      <c r="DE30" s="45"/>
      <c r="DF30" s="61">
        <f>'Standard Vorgaben'!$G$35</f>
        <v>0.25</v>
      </c>
      <c r="DG30" s="607">
        <f>DE10*DF30</f>
        <v>2500</v>
      </c>
      <c r="DH30" s="42">
        <f t="shared" si="16"/>
        <v>4.2206929580798414E-2</v>
      </c>
    </row>
    <row r="31" spans="1:112" ht="12.2" customHeight="1" x14ac:dyDescent="0.2">
      <c r="A31" s="144"/>
      <c r="B31" s="1"/>
      <c r="C31" s="1"/>
      <c r="D31" s="1"/>
      <c r="E31" s="61"/>
      <c r="F31" s="79">
        <f>SUM(F28:F30)</f>
        <v>325</v>
      </c>
      <c r="G31" s="611">
        <f t="shared" si="3"/>
        <v>2.6927276608309438E-2</v>
      </c>
      <c r="H31" s="144"/>
      <c r="I31"/>
      <c r="J31" s="1"/>
      <c r="K31" s="1"/>
      <c r="L31" s="61"/>
      <c r="M31" s="79">
        <f>SUM(M28:M30)</f>
        <v>325</v>
      </c>
      <c r="N31" s="611">
        <f t="shared" si="4"/>
        <v>2.6636349253382818E-2</v>
      </c>
      <c r="O31" s="696"/>
      <c r="P31" s="1"/>
      <c r="Q31" s="1"/>
      <c r="R31" s="1"/>
      <c r="S31" s="61"/>
      <c r="T31" s="79">
        <f>SUM(T28:T30)</f>
        <v>600.8606125</v>
      </c>
      <c r="U31" s="611">
        <f t="shared" si="1"/>
        <v>7.0148161667754954E-3</v>
      </c>
      <c r="V31" s="144"/>
      <c r="X31" s="1"/>
      <c r="Y31" s="1"/>
      <c r="Z31" s="61"/>
      <c r="AA31" s="79">
        <f>SUM(AA28:AA30)</f>
        <v>1244.5353749999999</v>
      </c>
      <c r="AB31" s="611">
        <f t="shared" si="5"/>
        <v>3.7010155135782839E-2</v>
      </c>
      <c r="AC31" s="144"/>
      <c r="AE31" s="1"/>
      <c r="AF31" s="1"/>
      <c r="AG31" s="61"/>
      <c r="AH31" s="79">
        <f>SUM(AH28:AH30)</f>
        <v>2844.2750000000001</v>
      </c>
      <c r="AI31" s="611">
        <f t="shared" si="6"/>
        <v>5.1768446099852122E-2</v>
      </c>
      <c r="AJ31" s="144"/>
      <c r="AL31" s="1"/>
      <c r="AM31" s="1"/>
      <c r="AN31" s="61"/>
      <c r="AO31" s="79">
        <f>SUM(AO28:AO30)</f>
        <v>2844.2750000000001</v>
      </c>
      <c r="AP31" s="611">
        <f t="shared" si="7"/>
        <v>5.0589343578377861E-2</v>
      </c>
      <c r="AQ31" s="144"/>
      <c r="AS31" s="1"/>
      <c r="AT31" s="1"/>
      <c r="AU31" s="61"/>
      <c r="AV31" s="79">
        <f>SUM(AV28:AV30)</f>
        <v>2844.2750000000001</v>
      </c>
      <c r="AW31" s="611">
        <f t="shared" si="8"/>
        <v>5.2125658686562271E-2</v>
      </c>
      <c r="AX31" s="144"/>
      <c r="AZ31" s="1"/>
      <c r="BA31" s="1"/>
      <c r="BB31" s="61"/>
      <c r="BC31" s="79">
        <f>SUM(BC28:BC30)</f>
        <v>2844.2750000000001</v>
      </c>
      <c r="BD31" s="611">
        <f t="shared" si="9"/>
        <v>5.2314924040152609E-2</v>
      </c>
      <c r="BE31" s="144"/>
      <c r="BF31" s="1"/>
      <c r="BG31" s="1"/>
      <c r="BH31" s="1"/>
      <c r="BI31" s="61"/>
      <c r="BJ31" s="79">
        <f>SUM(BJ28:BJ30)</f>
        <v>2844.2750000000001</v>
      </c>
      <c r="BK31" s="611">
        <f t="shared" si="10"/>
        <v>2.8354077231314868E-2</v>
      </c>
      <c r="BL31" s="144"/>
      <c r="BM31" s="1"/>
      <c r="BN31" s="1"/>
      <c r="BO31" s="1"/>
      <c r="BP31" s="61"/>
      <c r="BQ31" s="79">
        <f>SUM(BQ28:BQ30)</f>
        <v>2844.2750000000001</v>
      </c>
      <c r="BR31" s="611">
        <f t="shared" si="2"/>
        <v>4.8238082299915594E-2</v>
      </c>
      <c r="BS31" s="144"/>
      <c r="BU31" s="1"/>
      <c r="BV31" s="1"/>
      <c r="BW31" s="61"/>
      <c r="BX31" s="79">
        <f>SUM(BX28:BX30)</f>
        <v>2844.2750000000001</v>
      </c>
      <c r="BY31" s="611">
        <f t="shared" si="11"/>
        <v>5.2452596820388477E-2</v>
      </c>
      <c r="BZ31" s="144"/>
      <c r="CB31" s="1"/>
      <c r="CC31" s="1"/>
      <c r="CD31" s="61"/>
      <c r="CE31" s="79">
        <f>SUM(CE28:CE30)</f>
        <v>2844.2750000000001</v>
      </c>
      <c r="CF31" s="611">
        <f t="shared" si="12"/>
        <v>5.1248442416971567E-2</v>
      </c>
      <c r="CG31" s="144"/>
      <c r="CI31" s="1"/>
      <c r="CJ31" s="1"/>
      <c r="CK31" s="61"/>
      <c r="CL31" s="79">
        <f>SUM(CL28:CL30)</f>
        <v>2844.2750000000001</v>
      </c>
      <c r="CM31" s="611">
        <f t="shared" si="13"/>
        <v>5.2832059341466203E-2</v>
      </c>
      <c r="CN31" s="144"/>
      <c r="CP31" s="1"/>
      <c r="CQ31" s="1"/>
      <c r="CR31" s="61"/>
      <c r="CS31" s="79">
        <f>SUM(CS28:CS30)</f>
        <v>2844.2750000000001</v>
      </c>
      <c r="CT31" s="611">
        <f t="shared" si="14"/>
        <v>5.3032990900287666E-2</v>
      </c>
      <c r="CU31" s="144"/>
      <c r="CV31" s="1"/>
      <c r="CW31" s="1"/>
      <c r="CX31" s="1"/>
      <c r="CY31" s="61"/>
      <c r="CZ31" s="79">
        <f>SUM(CZ28:CZ30)</f>
        <v>2844.2750000000001</v>
      </c>
      <c r="DA31" s="611">
        <f t="shared" si="15"/>
        <v>5.1807393027434194E-2</v>
      </c>
      <c r="DB31" s="144"/>
      <c r="DD31" s="1"/>
      <c r="DE31" s="1"/>
      <c r="DF31" s="61"/>
      <c r="DG31" s="79">
        <f>SUM(DG28:DG30)</f>
        <v>2844.2750000000001</v>
      </c>
      <c r="DH31" s="611">
        <f t="shared" si="16"/>
        <v>4.8019245853370168E-2</v>
      </c>
    </row>
    <row r="32" spans="1:112" ht="14.25" customHeight="1" x14ac:dyDescent="0.2">
      <c r="A32" s="17" t="s">
        <v>210</v>
      </c>
      <c r="B32" s="416">
        <f>'Standard Vorgaben'!$C$182</f>
        <v>405</v>
      </c>
      <c r="C32" s="417">
        <f>'Standard Vorgaben'!$D$183</f>
        <v>1.5</v>
      </c>
      <c r="D32" s="105" t="s">
        <v>209</v>
      </c>
      <c r="E32" s="61">
        <f>'Standard Vorgaben'!$E$184</f>
        <v>0</v>
      </c>
      <c r="F32" s="117">
        <f>(B32*C32)+E32</f>
        <v>607.5</v>
      </c>
      <c r="G32" s="611">
        <f t="shared" si="3"/>
        <v>5.0333293967839948E-2</v>
      </c>
      <c r="H32" s="17" t="s">
        <v>210</v>
      </c>
      <c r="I32" s="416">
        <f>'Standard Vorgaben'!$C$182</f>
        <v>405</v>
      </c>
      <c r="J32" s="417">
        <f>'Standard Vorgaben'!$D$183</f>
        <v>1.5</v>
      </c>
      <c r="K32" s="105" t="s">
        <v>209</v>
      </c>
      <c r="L32" s="61">
        <f>'Standard Vorgaben'!$E$184</f>
        <v>0</v>
      </c>
      <c r="M32" s="117">
        <f>(I32*J32)+L32</f>
        <v>607.5</v>
      </c>
      <c r="N32" s="611">
        <f t="shared" si="4"/>
        <v>4.9789483604400192E-2</v>
      </c>
      <c r="O32" s="3" t="s">
        <v>210</v>
      </c>
      <c r="P32" s="416">
        <f>'Standard Vorgaben'!$C$183</f>
        <v>1701</v>
      </c>
      <c r="Q32" s="417">
        <f>'Standard Vorgaben'!$D$183</f>
        <v>1.5</v>
      </c>
      <c r="R32" s="105" t="s">
        <v>209</v>
      </c>
      <c r="S32" s="61">
        <f>'Standard Vorgaben'!$E$184</f>
        <v>0</v>
      </c>
      <c r="T32" s="117">
        <f>(P32*Q32)+S32</f>
        <v>2551.5</v>
      </c>
      <c r="U32" s="611">
        <f t="shared" si="1"/>
        <v>2.978777952353746E-2</v>
      </c>
      <c r="V32" s="17" t="s">
        <v>210</v>
      </c>
      <c r="W32" s="416">
        <f>'Standard Vorgaben'!$C$183</f>
        <v>1701</v>
      </c>
      <c r="X32" s="417">
        <f>'Standard Vorgaben'!$D$183</f>
        <v>1.5</v>
      </c>
      <c r="Y32" s="105" t="s">
        <v>209</v>
      </c>
      <c r="Z32" s="61">
        <f>'Standard Vorgaben'!$E$184</f>
        <v>0</v>
      </c>
      <c r="AA32" s="117">
        <f>(W32*X32)+Z32</f>
        <v>2551.5</v>
      </c>
      <c r="AB32" s="611">
        <f t="shared" si="5"/>
        <v>7.587683944214918E-2</v>
      </c>
      <c r="AC32" s="17" t="s">
        <v>210</v>
      </c>
      <c r="AD32" s="416">
        <f>'Standard Vorgaben'!$C$183</f>
        <v>1701</v>
      </c>
      <c r="AE32" s="417">
        <f>'Standard Vorgaben'!$D$183</f>
        <v>1.5</v>
      </c>
      <c r="AF32" s="105" t="s">
        <v>209</v>
      </c>
      <c r="AG32" s="61">
        <f>'Standard Vorgaben'!$E$184</f>
        <v>0</v>
      </c>
      <c r="AH32" s="117">
        <f>(AD32*AE32)+AG32</f>
        <v>2551.5</v>
      </c>
      <c r="AI32" s="611">
        <f t="shared" si="6"/>
        <v>4.643966923865403E-2</v>
      </c>
      <c r="AJ32" s="17" t="s">
        <v>210</v>
      </c>
      <c r="AK32" s="416">
        <f>'Standard Vorgaben'!$C$183</f>
        <v>1701</v>
      </c>
      <c r="AL32" s="417">
        <f>'Standard Vorgaben'!$D$183</f>
        <v>1.5</v>
      </c>
      <c r="AM32" s="105" t="s">
        <v>209</v>
      </c>
      <c r="AN32" s="61">
        <f>'Standard Vorgaben'!$E$184</f>
        <v>0</v>
      </c>
      <c r="AO32" s="117">
        <f>(AK32*AL32)+AN32</f>
        <v>2551.5</v>
      </c>
      <c r="AP32" s="611">
        <f t="shared" si="7"/>
        <v>4.5381937449870742E-2</v>
      </c>
      <c r="AQ32" s="17" t="s">
        <v>210</v>
      </c>
      <c r="AR32" s="416">
        <f>'Standard Vorgaben'!$C$183</f>
        <v>1701</v>
      </c>
      <c r="AS32" s="417">
        <f>'Standard Vorgaben'!$D$183</f>
        <v>1.5</v>
      </c>
      <c r="AT32" s="105" t="s">
        <v>209</v>
      </c>
      <c r="AU32" s="61">
        <f>'Standard Vorgaben'!$E$184</f>
        <v>0</v>
      </c>
      <c r="AV32" s="117">
        <f>(AR32*AS32)+AU32</f>
        <v>2551.5</v>
      </c>
      <c r="AW32" s="611">
        <f t="shared" si="8"/>
        <v>4.6760112203905607E-2</v>
      </c>
      <c r="AX32" s="17" t="s">
        <v>210</v>
      </c>
      <c r="AY32" s="416">
        <f>'Standard Vorgaben'!$C$183</f>
        <v>1701</v>
      </c>
      <c r="AZ32" s="417">
        <f>'Standard Vorgaben'!$D$183</f>
        <v>1.5</v>
      </c>
      <c r="BA32" s="105" t="s">
        <v>209</v>
      </c>
      <c r="BB32" s="61">
        <f>'Standard Vorgaben'!$E$184</f>
        <v>0</v>
      </c>
      <c r="BC32" s="117">
        <f>(AY32*AZ32)+BB32</f>
        <v>2551.5</v>
      </c>
      <c r="BD32" s="611">
        <f t="shared" si="9"/>
        <v>4.6929895558076973E-2</v>
      </c>
      <c r="BE32" s="17" t="s">
        <v>210</v>
      </c>
      <c r="BF32" s="416">
        <f>'Standard Vorgaben'!$C$183</f>
        <v>1701</v>
      </c>
      <c r="BG32" s="417">
        <f>'Standard Vorgaben'!$D$183</f>
        <v>1.5</v>
      </c>
      <c r="BH32" s="105" t="s">
        <v>209</v>
      </c>
      <c r="BI32" s="61">
        <f>'Standard Vorgaben'!$E$184</f>
        <v>0</v>
      </c>
      <c r="BJ32" s="117">
        <f>(BF32*BG32)+BI32</f>
        <v>2551.5</v>
      </c>
      <c r="BK32" s="611">
        <f t="shared" si="10"/>
        <v>2.5435454748819957E-2</v>
      </c>
      <c r="BL32" s="17" t="s">
        <v>210</v>
      </c>
      <c r="BM32" s="416">
        <f>'Standard Vorgaben'!$C$183</f>
        <v>1701</v>
      </c>
      <c r="BN32" s="417">
        <f>'Standard Vorgaben'!$D$183</f>
        <v>1.5</v>
      </c>
      <c r="BO32" s="105" t="s">
        <v>209</v>
      </c>
      <c r="BP32" s="61">
        <f>'Standard Vorgaben'!$E$184</f>
        <v>0</v>
      </c>
      <c r="BQ32" s="117">
        <f>(BM32*BN32)+BP32</f>
        <v>2551.5</v>
      </c>
      <c r="BR32" s="611">
        <f t="shared" si="2"/>
        <v>4.3272702881484611E-2</v>
      </c>
      <c r="BS32" s="17" t="s">
        <v>210</v>
      </c>
      <c r="BT32" s="416">
        <f>'Standard Vorgaben'!$C$183</f>
        <v>1701</v>
      </c>
      <c r="BU32" s="417">
        <f>'Standard Vorgaben'!$D$183</f>
        <v>1.5</v>
      </c>
      <c r="BV32" s="105" t="s">
        <v>209</v>
      </c>
      <c r="BW32" s="61">
        <f>'Standard Vorgaben'!$E$184</f>
        <v>0</v>
      </c>
      <c r="BX32" s="117">
        <f>(BT32*BU32)+BW32</f>
        <v>2551.5</v>
      </c>
      <c r="BY32" s="611">
        <f t="shared" si="11"/>
        <v>4.7053397012321661E-2</v>
      </c>
      <c r="BZ32" s="17" t="s">
        <v>210</v>
      </c>
      <c r="CA32" s="416">
        <f>'Standard Vorgaben'!$C$183</f>
        <v>1701</v>
      </c>
      <c r="CB32" s="417">
        <f>'Standard Vorgaben'!$D$183</f>
        <v>1.5</v>
      </c>
      <c r="CC32" s="105" t="s">
        <v>209</v>
      </c>
      <c r="CD32" s="61">
        <f>'Standard Vorgaben'!$E$184</f>
        <v>0</v>
      </c>
      <c r="CE32" s="117">
        <f>(CA32*CB32)+CD32</f>
        <v>2551.5</v>
      </c>
      <c r="CF32" s="611">
        <f t="shared" si="12"/>
        <v>4.5973192053125299E-2</v>
      </c>
      <c r="CG32" s="17" t="s">
        <v>210</v>
      </c>
      <c r="CH32" s="416">
        <f>'Standard Vorgaben'!$C$183</f>
        <v>1701</v>
      </c>
      <c r="CI32" s="417">
        <f>'Standard Vorgaben'!$D$183</f>
        <v>1.5</v>
      </c>
      <c r="CJ32" s="105" t="s">
        <v>209</v>
      </c>
      <c r="CK32" s="61">
        <f>'Standard Vorgaben'!$E$184</f>
        <v>0</v>
      </c>
      <c r="CL32" s="117">
        <f>(CH32*CI32)+CK32</f>
        <v>2551.5</v>
      </c>
      <c r="CM32" s="611">
        <f t="shared" si="13"/>
        <v>4.7393799618444421E-2</v>
      </c>
      <c r="CN32" s="17" t="s">
        <v>210</v>
      </c>
      <c r="CO32" s="416">
        <f>'Standard Vorgaben'!$C$183</f>
        <v>1701</v>
      </c>
      <c r="CP32" s="417">
        <f>'Standard Vorgaben'!$D$183</f>
        <v>1.5</v>
      </c>
      <c r="CQ32" s="105" t="s">
        <v>209</v>
      </c>
      <c r="CR32" s="61">
        <f>'Standard Vorgaben'!$E$184</f>
        <v>0</v>
      </c>
      <c r="CS32" s="117">
        <f>(CO32*CP32)+CR32</f>
        <v>2551.5</v>
      </c>
      <c r="CT32" s="611">
        <f t="shared" si="14"/>
        <v>4.7574048318845388E-2</v>
      </c>
      <c r="CU32" s="17" t="s">
        <v>210</v>
      </c>
      <c r="CV32" s="416">
        <f>'Standard Vorgaben'!$C$183</f>
        <v>1701</v>
      </c>
      <c r="CW32" s="417">
        <f>'Standard Vorgaben'!$D$183</f>
        <v>1.5</v>
      </c>
      <c r="CX32" s="105" t="s">
        <v>209</v>
      </c>
      <c r="CY32" s="61">
        <f>'Standard Vorgaben'!$E$184</f>
        <v>0</v>
      </c>
      <c r="CZ32" s="117">
        <f>(CV32*CW32)+CY32</f>
        <v>2551.5</v>
      </c>
      <c r="DA32" s="611">
        <f t="shared" si="15"/>
        <v>4.6474607170367964E-2</v>
      </c>
      <c r="DB32" s="17" t="s">
        <v>210</v>
      </c>
      <c r="DC32" s="416">
        <f>'Standard Vorgaben'!$C$183</f>
        <v>1701</v>
      </c>
      <c r="DD32" s="417">
        <f>'Standard Vorgaben'!$D$183</f>
        <v>1.5</v>
      </c>
      <c r="DE32" s="105" t="s">
        <v>209</v>
      </c>
      <c r="DF32" s="61">
        <f>'Standard Vorgaben'!$E$184</f>
        <v>0</v>
      </c>
      <c r="DG32" s="117">
        <f>(DC32*DD32)+DF32</f>
        <v>2551.5</v>
      </c>
      <c r="DH32" s="611">
        <f t="shared" si="16"/>
        <v>4.307639233016286E-2</v>
      </c>
    </row>
    <row r="33" spans="1:112" ht="15" customHeight="1" x14ac:dyDescent="0.2">
      <c r="A33" s="77" t="s">
        <v>163</v>
      </c>
      <c r="B33" s="78"/>
      <c r="C33" s="222"/>
      <c r="D33" s="78"/>
      <c r="E33" s="221"/>
      <c r="F33" s="1118">
        <f>600</f>
        <v>600</v>
      </c>
      <c r="G33" s="1120">
        <f t="shared" si="3"/>
        <v>4.9711895276878963E-2</v>
      </c>
      <c r="H33" s="77" t="s">
        <v>163</v>
      </c>
      <c r="I33" s="78"/>
      <c r="J33" s="222"/>
      <c r="K33" s="78"/>
      <c r="L33" s="221"/>
      <c r="M33" s="1118">
        <f>600</f>
        <v>600</v>
      </c>
      <c r="N33" s="42">
        <f t="shared" si="4"/>
        <v>4.9174798621629816E-2</v>
      </c>
      <c r="O33" s="77" t="s">
        <v>163</v>
      </c>
      <c r="P33" s="78"/>
      <c r="Q33" s="222"/>
      <c r="R33" s="78"/>
      <c r="S33" s="221"/>
      <c r="T33" s="1118">
        <f>600</f>
        <v>600</v>
      </c>
      <c r="U33" s="42">
        <f t="shared" si="1"/>
        <v>7.0047688473927009E-3</v>
      </c>
      <c r="V33" s="77" t="s">
        <v>163</v>
      </c>
      <c r="W33" s="78"/>
      <c r="X33" s="222"/>
      <c r="Y33" s="78"/>
      <c r="Z33" s="221"/>
      <c r="AA33" s="1118">
        <f>600</f>
        <v>600</v>
      </c>
      <c r="AB33" s="42">
        <f t="shared" si="5"/>
        <v>1.7842878175696457E-2</v>
      </c>
      <c r="AC33" s="77" t="s">
        <v>163</v>
      </c>
      <c r="AD33" s="78"/>
      <c r="AE33" s="222"/>
      <c r="AF33" s="78"/>
      <c r="AG33" s="221"/>
      <c r="AH33" s="1118">
        <f>600</f>
        <v>600</v>
      </c>
      <c r="AI33" s="42">
        <f t="shared" si="6"/>
        <v>1.0920557140189073E-2</v>
      </c>
      <c r="AJ33" s="77" t="s">
        <v>163</v>
      </c>
      <c r="AK33" s="78"/>
      <c r="AL33" s="222"/>
      <c r="AM33" s="78"/>
      <c r="AN33" s="221"/>
      <c r="AO33" s="1118">
        <f>600</f>
        <v>600</v>
      </c>
      <c r="AP33" s="42">
        <f t="shared" si="7"/>
        <v>1.0671825385037212E-2</v>
      </c>
      <c r="AQ33" s="77" t="s">
        <v>163</v>
      </c>
      <c r="AR33" s="78"/>
      <c r="AS33" s="222"/>
      <c r="AT33" s="78"/>
      <c r="AU33" s="221"/>
      <c r="AV33" s="1118">
        <f>600</f>
        <v>600</v>
      </c>
      <c r="AW33" s="42">
        <f t="shared" si="8"/>
        <v>1.0995911159060696E-2</v>
      </c>
      <c r="AX33" s="77" t="s">
        <v>163</v>
      </c>
      <c r="AY33" s="78"/>
      <c r="AZ33" s="222"/>
      <c r="BA33" s="78"/>
      <c r="BB33" s="221"/>
      <c r="BC33" s="1118">
        <f>600</f>
        <v>600</v>
      </c>
      <c r="BD33" s="42">
        <f t="shared" si="9"/>
        <v>1.1035836697960487E-2</v>
      </c>
      <c r="BE33" s="77" t="s">
        <v>163</v>
      </c>
      <c r="BF33" s="78"/>
      <c r="BG33" s="222"/>
      <c r="BH33" s="78"/>
      <c r="BI33" s="221"/>
      <c r="BJ33" s="1118">
        <f>600</f>
        <v>600</v>
      </c>
      <c r="BK33" s="42">
        <f t="shared" si="10"/>
        <v>5.9812944735614243E-3</v>
      </c>
      <c r="BL33" s="77" t="s">
        <v>163</v>
      </c>
      <c r="BM33" s="78"/>
      <c r="BN33" s="222"/>
      <c r="BO33" s="78"/>
      <c r="BP33" s="221"/>
      <c r="BQ33" s="1118">
        <f>600</f>
        <v>600</v>
      </c>
      <c r="BR33" s="42">
        <f t="shared" si="2"/>
        <v>1.0175826662312665E-2</v>
      </c>
      <c r="BS33" s="77" t="s">
        <v>163</v>
      </c>
      <c r="BT33" s="78"/>
      <c r="BU33" s="222"/>
      <c r="BV33" s="78"/>
      <c r="BW33" s="221"/>
      <c r="BX33" s="1118">
        <f>600</f>
        <v>600</v>
      </c>
      <c r="BY33" s="42">
        <f t="shared" si="11"/>
        <v>1.1064878780087398E-2</v>
      </c>
      <c r="BZ33" s="77" t="s">
        <v>163</v>
      </c>
      <c r="CA33" s="78"/>
      <c r="CB33" s="222"/>
      <c r="CC33" s="78"/>
      <c r="CD33" s="221"/>
      <c r="CE33" s="1118">
        <f>600</f>
        <v>600</v>
      </c>
      <c r="CF33" s="42">
        <f t="shared" si="12"/>
        <v>1.081086232877726E-2</v>
      </c>
      <c r="CG33" s="77" t="s">
        <v>163</v>
      </c>
      <c r="CH33" s="78"/>
      <c r="CI33" s="222"/>
      <c r="CJ33" s="78"/>
      <c r="CK33" s="221"/>
      <c r="CL33" s="1118">
        <f>600</f>
        <v>600</v>
      </c>
      <c r="CM33" s="42">
        <f t="shared" si="13"/>
        <v>1.1144926424090399E-2</v>
      </c>
      <c r="CN33" s="77" t="s">
        <v>163</v>
      </c>
      <c r="CO33" s="78"/>
      <c r="CP33" s="222"/>
      <c r="CQ33" s="78"/>
      <c r="CR33" s="221"/>
      <c r="CS33" s="1118">
        <f>600</f>
        <v>600</v>
      </c>
      <c r="CT33" s="42">
        <f t="shared" si="14"/>
        <v>1.1187312949757881E-2</v>
      </c>
      <c r="CU33" s="77" t="s">
        <v>163</v>
      </c>
      <c r="CV33" s="78"/>
      <c r="CW33" s="222"/>
      <c r="CX33" s="78"/>
      <c r="CY33" s="221"/>
      <c r="CZ33" s="1118">
        <f>600</f>
        <v>600</v>
      </c>
      <c r="DA33" s="42">
        <f t="shared" si="15"/>
        <v>1.0928772997147082E-2</v>
      </c>
      <c r="DB33" s="77" t="s">
        <v>163</v>
      </c>
      <c r="DC33" s="78"/>
      <c r="DD33" s="222"/>
      <c r="DE33" s="78"/>
      <c r="DF33" s="221"/>
      <c r="DG33" s="1123">
        <f>600</f>
        <v>600</v>
      </c>
      <c r="DH33" s="42">
        <f t="shared" si="16"/>
        <v>1.012966309939162E-2</v>
      </c>
    </row>
    <row r="34" spans="1:112" ht="15" customHeight="1" thickBot="1" x14ac:dyDescent="0.25">
      <c r="A34" s="77" t="str">
        <f>'Standard Vorgaben'!$A$192</f>
        <v>Frostbekämpfung - Forstversicherung</v>
      </c>
      <c r="B34" s="78"/>
      <c r="C34" s="222"/>
      <c r="D34" s="78"/>
      <c r="E34" s="221"/>
      <c r="F34" s="1118">
        <v>0</v>
      </c>
      <c r="G34" s="1120">
        <f t="shared" si="3"/>
        <v>0</v>
      </c>
      <c r="H34" s="77" t="str">
        <f>'Standard Vorgaben'!$A$192</f>
        <v>Frostbekämpfung - Forstversicherung</v>
      </c>
      <c r="I34" s="78"/>
      <c r="J34" s="222"/>
      <c r="K34" s="78"/>
      <c r="L34" s="221"/>
      <c r="M34" s="1118">
        <v>0</v>
      </c>
      <c r="N34" s="42">
        <f t="shared" si="4"/>
        <v>0</v>
      </c>
      <c r="O34" s="77" t="str">
        <f>'Standard Vorgaben'!$A$192</f>
        <v>Frostbekämpfung - Forstversicherung</v>
      </c>
      <c r="P34" s="78"/>
      <c r="Q34" s="222"/>
      <c r="R34" s="78"/>
      <c r="S34" s="221"/>
      <c r="T34" s="1118">
        <v>0</v>
      </c>
      <c r="U34" s="42">
        <f t="shared" si="1"/>
        <v>0</v>
      </c>
      <c r="V34" s="77" t="str">
        <f>'Standard Vorgaben'!$A$192</f>
        <v>Frostbekämpfung - Forstversicherung</v>
      </c>
      <c r="W34" s="78"/>
      <c r="X34" s="222"/>
      <c r="Y34" s="78"/>
      <c r="Z34" s="221"/>
      <c r="AA34" s="1118">
        <v>0</v>
      </c>
      <c r="AB34" s="42">
        <f t="shared" si="5"/>
        <v>0</v>
      </c>
      <c r="AC34" s="77" t="str">
        <f>'Standard Vorgaben'!$A$192</f>
        <v>Frostbekämpfung - Forstversicherung</v>
      </c>
      <c r="AD34" s="78"/>
      <c r="AE34" s="222"/>
      <c r="AF34" s="78"/>
      <c r="AG34" s="221"/>
      <c r="AH34" s="1118">
        <f>'Standard Vorgaben'!$B$192</f>
        <v>5000</v>
      </c>
      <c r="AI34" s="42">
        <f t="shared" si="6"/>
        <v>9.1004642834908944E-2</v>
      </c>
      <c r="AJ34" s="77" t="str">
        <f>'Standard Vorgaben'!$A$192</f>
        <v>Frostbekämpfung - Forstversicherung</v>
      </c>
      <c r="AK34" s="78"/>
      <c r="AL34" s="222"/>
      <c r="AM34" s="78"/>
      <c r="AN34" s="221"/>
      <c r="AO34" s="1118">
        <f>'Standard Vorgaben'!$B$192</f>
        <v>5000</v>
      </c>
      <c r="AP34" s="42">
        <f t="shared" si="7"/>
        <v>8.8931878208643442E-2</v>
      </c>
      <c r="AQ34" s="77" t="str">
        <f>'Standard Vorgaben'!$A$192</f>
        <v>Frostbekämpfung - Forstversicherung</v>
      </c>
      <c r="AR34" s="78"/>
      <c r="AS34" s="222"/>
      <c r="AT34" s="78"/>
      <c r="AU34" s="221"/>
      <c r="AV34" s="1118">
        <f>'Standard Vorgaben'!$B$192</f>
        <v>5000</v>
      </c>
      <c r="AW34" s="42">
        <f t="shared" si="8"/>
        <v>9.1632592992172468E-2</v>
      </c>
      <c r="AX34" s="77" t="str">
        <f>'Standard Vorgaben'!$A$192</f>
        <v>Frostbekämpfung - Forstversicherung</v>
      </c>
      <c r="AY34" s="78"/>
      <c r="AZ34" s="222"/>
      <c r="BA34" s="78"/>
      <c r="BB34" s="221"/>
      <c r="BC34" s="1118">
        <f>'Standard Vorgaben'!$B$192</f>
        <v>5000</v>
      </c>
      <c r="BD34" s="42">
        <f t="shared" si="9"/>
        <v>9.1965305816337384E-2</v>
      </c>
      <c r="BE34" s="77" t="str">
        <f>'Standard Vorgaben'!$A$192</f>
        <v>Frostbekämpfung - Forstversicherung</v>
      </c>
      <c r="BF34" s="78"/>
      <c r="BG34" s="222"/>
      <c r="BH34" s="78"/>
      <c r="BI34" s="221"/>
      <c r="BJ34" s="1118">
        <f>'Standard Vorgaben'!$B$192</f>
        <v>5000</v>
      </c>
      <c r="BK34" s="42">
        <f t="shared" si="10"/>
        <v>4.9844120613011869E-2</v>
      </c>
      <c r="BL34" s="77" t="str">
        <f>'Standard Vorgaben'!$A$192</f>
        <v>Frostbekämpfung - Forstversicherung</v>
      </c>
      <c r="BM34" s="78"/>
      <c r="BN34" s="222"/>
      <c r="BO34" s="78"/>
      <c r="BP34" s="221"/>
      <c r="BQ34" s="1118">
        <f>'Standard Vorgaben'!$B$192</f>
        <v>5000</v>
      </c>
      <c r="BR34" s="42">
        <f t="shared" si="2"/>
        <v>8.4798555519272206E-2</v>
      </c>
      <c r="BS34" s="77" t="str">
        <f>'Standard Vorgaben'!$A$192</f>
        <v>Frostbekämpfung - Forstversicherung</v>
      </c>
      <c r="BT34" s="78"/>
      <c r="BU34" s="222"/>
      <c r="BV34" s="78"/>
      <c r="BW34" s="221"/>
      <c r="BX34" s="1118">
        <f>'Standard Vorgaben'!$B$192</f>
        <v>5000</v>
      </c>
      <c r="BY34" s="42">
        <f t="shared" si="11"/>
        <v>9.2207323167394981E-2</v>
      </c>
      <c r="BZ34" s="77" t="str">
        <f>'Standard Vorgaben'!$A$192</f>
        <v>Frostbekämpfung - Forstversicherung</v>
      </c>
      <c r="CA34" s="78"/>
      <c r="CB34" s="222"/>
      <c r="CC34" s="78"/>
      <c r="CD34" s="221"/>
      <c r="CE34" s="1118">
        <f>'Standard Vorgaben'!$B$192</f>
        <v>5000</v>
      </c>
      <c r="CF34" s="42">
        <f t="shared" si="12"/>
        <v>9.0090519406477165E-2</v>
      </c>
      <c r="CG34" s="77" t="str">
        <f>'Standard Vorgaben'!$A$192</f>
        <v>Frostbekämpfung - Forstversicherung</v>
      </c>
      <c r="CH34" s="78"/>
      <c r="CI34" s="222"/>
      <c r="CJ34" s="78"/>
      <c r="CK34" s="221"/>
      <c r="CL34" s="1118">
        <f>'Standard Vorgaben'!$B$192</f>
        <v>5000</v>
      </c>
      <c r="CM34" s="42">
        <f t="shared" si="13"/>
        <v>9.287438686742E-2</v>
      </c>
      <c r="CN34" s="77" t="str">
        <f>'Standard Vorgaben'!$A$192</f>
        <v>Frostbekämpfung - Forstversicherung</v>
      </c>
      <c r="CO34" s="78"/>
      <c r="CP34" s="222"/>
      <c r="CQ34" s="78"/>
      <c r="CR34" s="221"/>
      <c r="CS34" s="1118">
        <f>'Standard Vorgaben'!$B$192</f>
        <v>5000</v>
      </c>
      <c r="CT34" s="42">
        <f t="shared" si="14"/>
        <v>9.3227607914649013E-2</v>
      </c>
      <c r="CU34" s="77" t="str">
        <f>'Standard Vorgaben'!$A$192</f>
        <v>Frostbekämpfung - Forstversicherung</v>
      </c>
      <c r="CV34" s="78"/>
      <c r="CW34" s="222"/>
      <c r="CX34" s="78"/>
      <c r="CY34" s="221"/>
      <c r="CZ34" s="1118">
        <f>'Standard Vorgaben'!$B$192</f>
        <v>5000</v>
      </c>
      <c r="DA34" s="42">
        <f t="shared" si="15"/>
        <v>9.1073108309559017E-2</v>
      </c>
      <c r="DB34" s="77" t="str">
        <f>'Standard Vorgaben'!$A$192</f>
        <v>Frostbekämpfung - Forstversicherung</v>
      </c>
      <c r="DC34" s="78"/>
      <c r="DD34" s="222"/>
      <c r="DE34" s="78"/>
      <c r="DF34" s="221"/>
      <c r="DG34" s="1123">
        <f>'Standard Vorgaben'!$B$192</f>
        <v>5000</v>
      </c>
      <c r="DH34" s="42">
        <f t="shared" si="16"/>
        <v>8.4413859161596827E-2</v>
      </c>
    </row>
    <row r="35" spans="1:112" ht="14.25" customHeight="1" thickBot="1" x14ac:dyDescent="0.25">
      <c r="A35" s="549" t="s">
        <v>326</v>
      </c>
      <c r="B35" s="550"/>
      <c r="C35" s="555"/>
      <c r="D35" s="555"/>
      <c r="E35" s="556"/>
      <c r="F35" s="1122">
        <f>F33+F32+F24+F31+F25+F22+F17+F34+F26+F27</f>
        <v>2551.6857333333332</v>
      </c>
      <c r="G35" s="1226">
        <f t="shared" si="3"/>
        <v>0.21141522325828793</v>
      </c>
      <c r="H35" s="549" t="s">
        <v>326</v>
      </c>
      <c r="I35" s="550"/>
      <c r="J35" s="555"/>
      <c r="K35" s="555"/>
      <c r="L35" s="556"/>
      <c r="M35" s="1122">
        <f>M33+M32+M24+M31+M25+M22+M17+M34+M26+M27</f>
        <v>2704.1857333333332</v>
      </c>
      <c r="N35" s="1225">
        <f t="shared" si="4"/>
        <v>0.22162964812025168</v>
      </c>
      <c r="O35" s="549" t="s">
        <v>326</v>
      </c>
      <c r="P35" s="550"/>
      <c r="Q35" s="555"/>
      <c r="R35" s="555"/>
      <c r="S35" s="556"/>
      <c r="T35" s="1122">
        <f>T33+T32+T24+T31+T25+T22+T17+T34+T26+T27</f>
        <v>60049.042645833339</v>
      </c>
      <c r="U35" s="42">
        <f>T35/$T$73</f>
        <v>0.70104943873548187</v>
      </c>
      <c r="V35" s="549" t="s">
        <v>326</v>
      </c>
      <c r="W35" s="550"/>
      <c r="X35" s="555"/>
      <c r="Y35" s="555"/>
      <c r="Z35" s="556"/>
      <c r="AA35" s="1122">
        <f>AA33+AA32+AA24+AA31+AA25+AA22+AA17+AA34+AA26+AA27</f>
        <v>8120.2592416666657</v>
      </c>
      <c r="AB35" s="1225">
        <f t="shared" si="5"/>
        <v>0.24148132734021932</v>
      </c>
      <c r="AC35" s="549" t="s">
        <v>326</v>
      </c>
      <c r="AD35" s="550"/>
      <c r="AE35" s="555"/>
      <c r="AF35" s="555"/>
      <c r="AG35" s="556"/>
      <c r="AH35" s="1122">
        <f>AH33+AH32+AH24+AH31+AH25+AH22+AH17+AH34+AH26+AH27</f>
        <v>14266.074999999999</v>
      </c>
      <c r="AI35" s="1225">
        <f t="shared" si="6"/>
        <v>0.25965581200620469</v>
      </c>
      <c r="AJ35" s="549" t="s">
        <v>326</v>
      </c>
      <c r="AK35" s="550"/>
      <c r="AL35" s="555"/>
      <c r="AM35" s="555"/>
      <c r="AN35" s="556"/>
      <c r="AO35" s="1122">
        <f>AO33+AO32+AO24+AO31+AO25+AO22+AO17+AO34</f>
        <v>14366.074999999999</v>
      </c>
      <c r="AP35" s="1225">
        <f t="shared" si="7"/>
        <v>0.25552040644724744</v>
      </c>
      <c r="AQ35" s="549" t="s">
        <v>326</v>
      </c>
      <c r="AR35" s="550"/>
      <c r="AS35" s="555"/>
      <c r="AT35" s="555"/>
      <c r="AU35" s="556"/>
      <c r="AV35" s="1122">
        <f>AV33+AV32+AV24+AV31+AV25+AV22+AV17+AV34</f>
        <v>14266.074999999999</v>
      </c>
      <c r="AW35" s="1225">
        <f t="shared" si="8"/>
        <v>0.26144748881416136</v>
      </c>
      <c r="AX35" s="549" t="s">
        <v>326</v>
      </c>
      <c r="AY35" s="550"/>
      <c r="AZ35" s="555"/>
      <c r="BA35" s="555"/>
      <c r="BB35" s="556"/>
      <c r="BC35" s="1122">
        <f>BC33+BC32+BC24+BC31+BC25+BC22+BC17+BC34+BC26+BC27</f>
        <v>14266.074999999999</v>
      </c>
      <c r="BD35" s="1225">
        <f t="shared" si="9"/>
        <v>0.26239679003476107</v>
      </c>
      <c r="BE35" s="549" t="s">
        <v>326</v>
      </c>
      <c r="BF35" s="550"/>
      <c r="BG35" s="555"/>
      <c r="BH35" s="555"/>
      <c r="BI35" s="556"/>
      <c r="BJ35" s="1122">
        <f>BJ33+BJ32+BJ24+BJ31+BJ25+BJ22+BJ17+BJ34+BJ26+BJ27</f>
        <v>56136.887900000002</v>
      </c>
      <c r="BK35" s="1225">
        <f t="shared" si="10"/>
        <v>0.55961876226534535</v>
      </c>
      <c r="BL35" s="549" t="s">
        <v>326</v>
      </c>
      <c r="BM35" s="550"/>
      <c r="BN35" s="555"/>
      <c r="BO35" s="555"/>
      <c r="BP35" s="556"/>
      <c r="BQ35" s="1122">
        <f>BQ33+BQ32+BQ24+BQ31+BQ25+BQ22+BQ17+BQ34+BQ26+BQ27</f>
        <v>17736.084999999999</v>
      </c>
      <c r="BR35" s="1225">
        <f t="shared" si="2"/>
        <v>0.30079887771340619</v>
      </c>
      <c r="BS35" s="549" t="s">
        <v>326</v>
      </c>
      <c r="BT35" s="550"/>
      <c r="BU35" s="555"/>
      <c r="BV35" s="555"/>
      <c r="BW35" s="556"/>
      <c r="BX35" s="1122">
        <f>BX33+BX32+BX24+BX31+BX25+BX22+BX17+BX34+BX26+BX27</f>
        <v>14266.074999999999</v>
      </c>
      <c r="BY35" s="1225">
        <f t="shared" si="11"/>
        <v>0.26308731757105885</v>
      </c>
      <c r="BZ35" s="549" t="s">
        <v>326</v>
      </c>
      <c r="CA35" s="550"/>
      <c r="CB35" s="555"/>
      <c r="CC35" s="555"/>
      <c r="CD35" s="556"/>
      <c r="CE35" s="1122">
        <f>CE33+CE32+CE24+CE31+CE25+CE22+CE17+CE34+CE26+CE27</f>
        <v>14366.074999999999</v>
      </c>
      <c r="CF35" s="1225">
        <f t="shared" si="12"/>
        <v>0.25884943171648128</v>
      </c>
      <c r="CG35" s="549" t="s">
        <v>326</v>
      </c>
      <c r="CH35" s="550"/>
      <c r="CI35" s="555"/>
      <c r="CJ35" s="555"/>
      <c r="CK35" s="556"/>
      <c r="CL35" s="1122">
        <f>CL33+CL32+CL24+CL31+CL25+CL22+CL17+CL34+CL26+CL27</f>
        <v>14266.074999999999</v>
      </c>
      <c r="CM35" s="1225">
        <f t="shared" si="13"/>
        <v>0.2649905937259257</v>
      </c>
      <c r="CN35" s="549" t="s">
        <v>326</v>
      </c>
      <c r="CO35" s="550"/>
      <c r="CP35" s="555"/>
      <c r="CQ35" s="555"/>
      <c r="CR35" s="556"/>
      <c r="CS35" s="1122">
        <f>CS33+CS32+CS24+CS31+CS25+CS22+CS17+CS34+CS26+CS27</f>
        <v>14266.074999999999</v>
      </c>
      <c r="CT35" s="1225">
        <f t="shared" si="14"/>
        <v>0.26599840931619523</v>
      </c>
      <c r="CU35" s="549" t="s">
        <v>326</v>
      </c>
      <c r="CV35" s="550"/>
      <c r="CW35" s="555"/>
      <c r="CX35" s="555"/>
      <c r="CY35" s="556"/>
      <c r="CZ35" s="1122">
        <f>CZ33+CZ32+CZ24+CZ31+CZ25+CZ22+CZ17+CZ34+CZ26+CZ27</f>
        <v>14366.074999999999</v>
      </c>
      <c r="DA35" s="1225">
        <f t="shared" si="15"/>
        <v>0.26167262089164961</v>
      </c>
      <c r="DB35" s="549" t="s">
        <v>326</v>
      </c>
      <c r="DC35" s="550"/>
      <c r="DD35" s="555"/>
      <c r="DE35" s="555"/>
      <c r="DF35" s="556"/>
      <c r="DG35" s="1122">
        <f>DG33+DG32+DG24+DG31+DG25+DG22+DG17+DG34+DG26+DG27</f>
        <v>14266.074999999999</v>
      </c>
      <c r="DH35" s="1225">
        <f t="shared" si="16"/>
        <v>0.24085088916775549</v>
      </c>
    </row>
    <row r="36" spans="1:112" ht="15.75" customHeight="1" x14ac:dyDescent="0.2">
      <c r="A36" s="17" t="s">
        <v>103</v>
      </c>
      <c r="B36"/>
      <c r="C36" s="1357" t="s">
        <v>66</v>
      </c>
      <c r="D36" s="145">
        <v>10</v>
      </c>
      <c r="E36" s="92">
        <v>21</v>
      </c>
      <c r="F36" s="79">
        <f>D36*E36</f>
        <v>210</v>
      </c>
      <c r="G36" s="611">
        <f t="shared" si="3"/>
        <v>1.7399163346907637E-2</v>
      </c>
      <c r="H36" s="17" t="s">
        <v>103</v>
      </c>
      <c r="I36"/>
      <c r="J36" s="1357" t="s">
        <v>66</v>
      </c>
      <c r="K36" s="145">
        <v>10</v>
      </c>
      <c r="L36" s="92">
        <f>$E$36</f>
        <v>21</v>
      </c>
      <c r="M36" s="79">
        <f>K36*L36*0.5</f>
        <v>105</v>
      </c>
      <c r="N36" s="611">
        <f>M36/$M$73</f>
        <v>8.605589758785219E-3</v>
      </c>
      <c r="O36" s="17" t="s">
        <v>103</v>
      </c>
      <c r="Q36" s="1357" t="s">
        <v>66</v>
      </c>
      <c r="R36" s="145">
        <v>10</v>
      </c>
      <c r="S36" s="92">
        <f>L36</f>
        <v>21</v>
      </c>
      <c r="T36" s="79">
        <f>R36*S36</f>
        <v>210</v>
      </c>
      <c r="U36" s="611">
        <f>T36/$T$73</f>
        <v>2.4516690965874456E-3</v>
      </c>
      <c r="V36" s="17" t="s">
        <v>103</v>
      </c>
      <c r="X36" s="1357" t="s">
        <v>66</v>
      </c>
      <c r="Y36" s="145">
        <v>10</v>
      </c>
      <c r="Z36" s="92">
        <f>$E$36</f>
        <v>21</v>
      </c>
      <c r="AA36" s="79">
        <f>Y36*Z36</f>
        <v>210</v>
      </c>
      <c r="AB36" s="611">
        <f>AA36/$AA$73</f>
        <v>6.2450073614937597E-3</v>
      </c>
      <c r="AC36" s="17" t="s">
        <v>103</v>
      </c>
      <c r="AE36" s="1357" t="s">
        <v>66</v>
      </c>
      <c r="AF36" s="145">
        <v>10</v>
      </c>
      <c r="AG36" s="92">
        <f>$E$36</f>
        <v>21</v>
      </c>
      <c r="AH36" s="79">
        <f>AF36*AG36</f>
        <v>210</v>
      </c>
      <c r="AI36" s="611">
        <f>AH36/$AH$73</f>
        <v>3.8221949990661754E-3</v>
      </c>
      <c r="AJ36" s="17" t="s">
        <v>103</v>
      </c>
      <c r="AL36" s="1357" t="s">
        <v>66</v>
      </c>
      <c r="AM36" s="145">
        <v>10</v>
      </c>
      <c r="AN36" s="92">
        <f>$E$36</f>
        <v>21</v>
      </c>
      <c r="AO36" s="79">
        <f>AM36*AN36</f>
        <v>210</v>
      </c>
      <c r="AP36" s="611">
        <f>AO36/$AO$73</f>
        <v>3.7351388847630244E-3</v>
      </c>
      <c r="AQ36" s="17" t="s">
        <v>103</v>
      </c>
      <c r="AS36" s="1357" t="s">
        <v>66</v>
      </c>
      <c r="AT36" s="145">
        <v>10</v>
      </c>
      <c r="AU36" s="92">
        <f>$E$36</f>
        <v>21</v>
      </c>
      <c r="AV36" s="79">
        <f>AT36*AU36</f>
        <v>210</v>
      </c>
      <c r="AW36" s="611">
        <f>AV36/$AV$73</f>
        <v>3.8485689056712434E-3</v>
      </c>
      <c r="AX36" s="17" t="s">
        <v>103</v>
      </c>
      <c r="AZ36" s="1357" t="s">
        <v>66</v>
      </c>
      <c r="BA36" s="145">
        <v>10</v>
      </c>
      <c r="BB36" s="92">
        <f>$E$36</f>
        <v>21</v>
      </c>
      <c r="BC36" s="79">
        <f>BA36*BB36</f>
        <v>210</v>
      </c>
      <c r="BD36" s="611">
        <f>BC36/$BC$73</f>
        <v>3.8625428442861705E-3</v>
      </c>
      <c r="BE36" s="17" t="s">
        <v>103</v>
      </c>
      <c r="BG36" s="1357" t="s">
        <v>66</v>
      </c>
      <c r="BH36" s="145">
        <v>10</v>
      </c>
      <c r="BI36" s="92">
        <f>$E$36</f>
        <v>21</v>
      </c>
      <c r="BJ36" s="79">
        <f>BH36*BI36</f>
        <v>210</v>
      </c>
      <c r="BK36" s="611">
        <f>BJ36/$BJ$73</f>
        <v>2.0934530657464984E-3</v>
      </c>
      <c r="BL36" s="17" t="s">
        <v>103</v>
      </c>
      <c r="BN36" s="1357" t="s">
        <v>66</v>
      </c>
      <c r="BO36" s="145">
        <v>10</v>
      </c>
      <c r="BP36" s="92">
        <f>$E$36</f>
        <v>21</v>
      </c>
      <c r="BQ36" s="79">
        <f>BO36*BP36</f>
        <v>210</v>
      </c>
      <c r="BR36" s="611">
        <f>BQ36/$BQ$73</f>
        <v>3.5615393318094331E-3</v>
      </c>
      <c r="BS36" s="17" t="s">
        <v>103</v>
      </c>
      <c r="BU36" s="1357" t="s">
        <v>66</v>
      </c>
      <c r="BV36" s="145">
        <v>10</v>
      </c>
      <c r="BW36" s="92">
        <f>$E$36</f>
        <v>21</v>
      </c>
      <c r="BX36" s="79">
        <f>BV36*BW36</f>
        <v>210</v>
      </c>
      <c r="BY36" s="611">
        <f>BX36/$BX$73</f>
        <v>3.8727075730305891E-3</v>
      </c>
      <c r="BZ36" s="17" t="s">
        <v>103</v>
      </c>
      <c r="CB36" s="1357" t="s">
        <v>66</v>
      </c>
      <c r="CC36" s="145">
        <v>10</v>
      </c>
      <c r="CD36" s="92">
        <f>$E$36</f>
        <v>21</v>
      </c>
      <c r="CE36" s="79">
        <f>CC36*CD36</f>
        <v>210</v>
      </c>
      <c r="CF36" s="611">
        <f>CE36/$CE$73</f>
        <v>3.7838018150720409E-3</v>
      </c>
      <c r="CG36" s="17" t="s">
        <v>103</v>
      </c>
      <c r="CI36" s="1357" t="s">
        <v>66</v>
      </c>
      <c r="CJ36" s="145">
        <v>10</v>
      </c>
      <c r="CK36" s="92">
        <f>$E$36</f>
        <v>21</v>
      </c>
      <c r="CL36" s="79">
        <f>CJ36*CK36</f>
        <v>210</v>
      </c>
      <c r="CM36" s="611">
        <f>CL36/$CL$73</f>
        <v>3.9007242484316398E-3</v>
      </c>
      <c r="CN36" s="17" t="s">
        <v>103</v>
      </c>
      <c r="CP36" s="1357" t="s">
        <v>66</v>
      </c>
      <c r="CQ36" s="145">
        <v>10</v>
      </c>
      <c r="CR36" s="92">
        <f>$E$36</f>
        <v>21</v>
      </c>
      <c r="CS36" s="79">
        <f>CQ36*CR36</f>
        <v>210</v>
      </c>
      <c r="CT36" s="611">
        <f>CS36/$CS$73</f>
        <v>3.9155595324152585E-3</v>
      </c>
      <c r="CU36" s="17" t="s">
        <v>103</v>
      </c>
      <c r="CW36" s="1357" t="s">
        <v>66</v>
      </c>
      <c r="CX36" s="145">
        <v>10</v>
      </c>
      <c r="CY36" s="92">
        <f>$E$36</f>
        <v>21</v>
      </c>
      <c r="CZ36" s="79">
        <f>CX36*CY36</f>
        <v>210</v>
      </c>
      <c r="DA36" s="611">
        <f>CZ36/$CZ$73</f>
        <v>3.8250705490014787E-3</v>
      </c>
      <c r="DB36" s="17" t="s">
        <v>103</v>
      </c>
      <c r="DD36" s="1357" t="s">
        <v>66</v>
      </c>
      <c r="DE36" s="145">
        <v>10</v>
      </c>
      <c r="DF36" s="92">
        <f>$E$36</f>
        <v>21</v>
      </c>
      <c r="DG36" s="79">
        <f>DE36*DF36</f>
        <v>210</v>
      </c>
      <c r="DH36" s="611">
        <f>DG36/$DG$73</f>
        <v>3.5453820847870668E-3</v>
      </c>
    </row>
    <row r="37" spans="1:112" ht="17.45" customHeight="1" x14ac:dyDescent="0.2">
      <c r="A37"/>
      <c r="B37"/>
      <c r="C37" s="48" t="s">
        <v>18</v>
      </c>
      <c r="D37" s="119" t="s">
        <v>24</v>
      </c>
      <c r="E37" s="10" t="s">
        <v>67</v>
      </c>
      <c r="F37" s="120" t="s">
        <v>26</v>
      </c>
      <c r="G37" s="42"/>
      <c r="H37"/>
      <c r="I37"/>
      <c r="J37" s="48" t="s">
        <v>18</v>
      </c>
      <c r="K37" s="119" t="s">
        <v>24</v>
      </c>
      <c r="L37" s="10" t="s">
        <v>67</v>
      </c>
      <c r="M37" s="120" t="s">
        <v>26</v>
      </c>
      <c r="N37" s="42"/>
      <c r="Q37" s="48" t="s">
        <v>18</v>
      </c>
      <c r="R37" s="119" t="s">
        <v>24</v>
      </c>
      <c r="S37" s="10" t="s">
        <v>67</v>
      </c>
      <c r="T37" s="120" t="s">
        <v>26</v>
      </c>
      <c r="U37" s="42"/>
      <c r="X37" s="48" t="s">
        <v>18</v>
      </c>
      <c r="Y37" s="119" t="s">
        <v>24</v>
      </c>
      <c r="Z37" s="10" t="s">
        <v>67</v>
      </c>
      <c r="AA37" s="120" t="s">
        <v>26</v>
      </c>
      <c r="AB37" s="42"/>
      <c r="AE37" s="48" t="s">
        <v>18</v>
      </c>
      <c r="AF37" s="119" t="s">
        <v>24</v>
      </c>
      <c r="AG37" s="10" t="s">
        <v>67</v>
      </c>
      <c r="AH37" s="120" t="s">
        <v>26</v>
      </c>
      <c r="AI37" s="42"/>
      <c r="AL37" s="48" t="s">
        <v>18</v>
      </c>
      <c r="AM37" s="119" t="s">
        <v>24</v>
      </c>
      <c r="AN37" s="10" t="s">
        <v>67</v>
      </c>
      <c r="AO37" s="120" t="s">
        <v>26</v>
      </c>
      <c r="AP37" s="42"/>
      <c r="AS37" s="48" t="s">
        <v>18</v>
      </c>
      <c r="AT37" s="119" t="s">
        <v>24</v>
      </c>
      <c r="AU37" s="10" t="s">
        <v>67</v>
      </c>
      <c r="AV37" s="120" t="s">
        <v>26</v>
      </c>
      <c r="AW37" s="42"/>
      <c r="AZ37" s="48" t="s">
        <v>18</v>
      </c>
      <c r="BA37" s="119" t="s">
        <v>24</v>
      </c>
      <c r="BB37" s="10" t="s">
        <v>67</v>
      </c>
      <c r="BC37" s="120" t="s">
        <v>26</v>
      </c>
      <c r="BD37" s="42"/>
      <c r="BG37" s="48" t="s">
        <v>18</v>
      </c>
      <c r="BH37" s="119" t="s">
        <v>24</v>
      </c>
      <c r="BI37" s="10" t="s">
        <v>67</v>
      </c>
      <c r="BJ37" s="120" t="s">
        <v>26</v>
      </c>
      <c r="BK37" s="42"/>
      <c r="BN37" s="48" t="s">
        <v>18</v>
      </c>
      <c r="BO37" s="119" t="s">
        <v>24</v>
      </c>
      <c r="BP37" s="10" t="s">
        <v>67</v>
      </c>
      <c r="BQ37" s="120" t="s">
        <v>26</v>
      </c>
      <c r="BR37" s="42"/>
      <c r="BU37" s="48" t="s">
        <v>18</v>
      </c>
      <c r="BV37" s="119" t="s">
        <v>24</v>
      </c>
      <c r="BW37" s="10" t="s">
        <v>67</v>
      </c>
      <c r="BX37" s="120" t="s">
        <v>26</v>
      </c>
      <c r="BY37" s="42"/>
      <c r="CB37" s="48" t="s">
        <v>18</v>
      </c>
      <c r="CC37" s="119" t="s">
        <v>24</v>
      </c>
      <c r="CD37" s="10" t="s">
        <v>67</v>
      </c>
      <c r="CE37" s="120" t="s">
        <v>26</v>
      </c>
      <c r="CF37" s="42"/>
      <c r="CI37" s="48" t="s">
        <v>18</v>
      </c>
      <c r="CJ37" s="119" t="s">
        <v>24</v>
      </c>
      <c r="CK37" s="10" t="s">
        <v>67</v>
      </c>
      <c r="CL37" s="120" t="s">
        <v>26</v>
      </c>
      <c r="CM37" s="42"/>
      <c r="CP37" s="48" t="s">
        <v>18</v>
      </c>
      <c r="CQ37" s="119" t="s">
        <v>24</v>
      </c>
      <c r="CR37" s="10" t="s">
        <v>67</v>
      </c>
      <c r="CS37" s="120" t="s">
        <v>26</v>
      </c>
      <c r="CT37" s="42"/>
      <c r="CW37" s="48" t="s">
        <v>18</v>
      </c>
      <c r="CX37" s="119" t="s">
        <v>24</v>
      </c>
      <c r="CY37" s="10" t="s">
        <v>67</v>
      </c>
      <c r="CZ37" s="120" t="s">
        <v>26</v>
      </c>
      <c r="DA37" s="42"/>
      <c r="DD37" s="48" t="s">
        <v>18</v>
      </c>
      <c r="DE37" s="119" t="s">
        <v>24</v>
      </c>
      <c r="DF37" s="10" t="s">
        <v>67</v>
      </c>
      <c r="DG37" s="120" t="s">
        <v>26</v>
      </c>
      <c r="DH37" s="42"/>
    </row>
    <row r="38" spans="1:112" x14ac:dyDescent="0.2">
      <c r="A38" s="17" t="s">
        <v>119</v>
      </c>
      <c r="B38" s="20" t="str">
        <f>'Standard Vorgaben'!$B$160</f>
        <v>Rückensprühgerät, 25 l, Benzin</v>
      </c>
      <c r="C38" s="535">
        <f>'Standard Vorgaben'!$B$121</f>
        <v>9</v>
      </c>
      <c r="D38" s="46">
        <f>'Standard Vorgaben'!$C$160</f>
        <v>1.5</v>
      </c>
      <c r="E38" s="61">
        <f>'Standard Vorgaben'!$D$160</f>
        <v>16</v>
      </c>
      <c r="F38" s="43">
        <f>C38*D38*E38</f>
        <v>216</v>
      </c>
      <c r="G38" s="42">
        <f t="shared" ref="G38:G49" si="17">F38/$F$73</f>
        <v>1.7896282299676426E-2</v>
      </c>
      <c r="H38" s="17" t="s">
        <v>119</v>
      </c>
      <c r="I38" s="4" t="str">
        <f>'Standard Vorgaben'!$B$160</f>
        <v>Rückensprühgerät, 25 l, Benzin</v>
      </c>
      <c r="J38" s="535">
        <f>'Standard Vorgaben'!$B$121</f>
        <v>9</v>
      </c>
      <c r="K38" s="46">
        <f>'Standard Vorgaben'!$C$160</f>
        <v>1.5</v>
      </c>
      <c r="L38" s="61">
        <f>'Standard Vorgaben'!$D$160</f>
        <v>16</v>
      </c>
      <c r="M38" s="43">
        <f>J38*K38*L38</f>
        <v>216</v>
      </c>
      <c r="N38" s="42">
        <f>M38/$M$73</f>
        <v>1.7702927503786735E-2</v>
      </c>
      <c r="O38" s="3" t="s">
        <v>119</v>
      </c>
      <c r="P38" s="4" t="str">
        <f>'Standard Vorgaben'!$B$159</f>
        <v>Anhängegebläsespritze, 1000l Fass, mit Bordcomputer</v>
      </c>
      <c r="Q38" s="535">
        <f>'Standard Vorgaben'!$B$135</f>
        <v>9</v>
      </c>
      <c r="R38" s="46">
        <f>'Standard Vorgaben'!$C$159</f>
        <v>1</v>
      </c>
      <c r="S38" s="61">
        <f>'Standard Vorgaben'!$D$159</f>
        <v>37</v>
      </c>
      <c r="T38" s="43">
        <f>Q38*S38</f>
        <v>333</v>
      </c>
      <c r="U38" s="42">
        <f>T38/$T$73</f>
        <v>3.8876467103029491E-3</v>
      </c>
      <c r="V38" s="17" t="s">
        <v>119</v>
      </c>
      <c r="W38" s="4" t="str">
        <f>'Standard Vorgaben'!$B$159</f>
        <v>Anhängegebläsespritze, 1000l Fass, mit Bordcomputer</v>
      </c>
      <c r="X38" s="535">
        <f>'Standard Vorgaben'!$B$135</f>
        <v>9</v>
      </c>
      <c r="Y38" s="46">
        <f>'Standard Vorgaben'!$C$159</f>
        <v>1</v>
      </c>
      <c r="Z38" s="61">
        <f>'Standard Vorgaben'!$D$159</f>
        <v>37</v>
      </c>
      <c r="AA38" s="43">
        <f>X38*Z38</f>
        <v>333</v>
      </c>
      <c r="AB38" s="42">
        <f>AA38/$AA$73</f>
        <v>9.9027973875115329E-3</v>
      </c>
      <c r="AC38" s="17" t="s">
        <v>119</v>
      </c>
      <c r="AD38" s="4" t="str">
        <f>'Standard Vorgaben'!$B$159</f>
        <v>Anhängegebläsespritze, 1000l Fass, mit Bordcomputer</v>
      </c>
      <c r="AE38" s="535">
        <f>'Standard Vorgaben'!$B$145</f>
        <v>5</v>
      </c>
      <c r="AF38" s="46">
        <f>'Standard Vorgaben'!$C$159</f>
        <v>1</v>
      </c>
      <c r="AG38" s="61">
        <f>'Standard Vorgaben'!$D$159</f>
        <v>37</v>
      </c>
      <c r="AH38" s="43">
        <f>AE38*AG38</f>
        <v>185</v>
      </c>
      <c r="AI38" s="42">
        <f>AH38/$AH$73</f>
        <v>3.3671717848916308E-3</v>
      </c>
      <c r="AJ38" s="17" t="s">
        <v>119</v>
      </c>
      <c r="AK38" s="20" t="str">
        <f>'Standard Vorgaben'!$B$159</f>
        <v>Anhängegebläsespritze, 1000l Fass, mit Bordcomputer</v>
      </c>
      <c r="AL38" s="535">
        <f>'Standard Vorgaben'!$B$145</f>
        <v>5</v>
      </c>
      <c r="AM38" s="46">
        <f>'Standard Vorgaben'!$C$159</f>
        <v>1</v>
      </c>
      <c r="AN38" s="61">
        <f>'Standard Vorgaben'!$D$159</f>
        <v>37</v>
      </c>
      <c r="AO38" s="43">
        <f>AL38*AN38</f>
        <v>185</v>
      </c>
      <c r="AP38" s="42">
        <f>AO38/$AO$73</f>
        <v>3.290479493719807E-3</v>
      </c>
      <c r="AQ38" s="17" t="s">
        <v>119</v>
      </c>
      <c r="AR38" s="20" t="str">
        <f>'Standard Vorgaben'!$B$159</f>
        <v>Anhängegebläsespritze, 1000l Fass, mit Bordcomputer</v>
      </c>
      <c r="AS38" s="535">
        <f>'Standard Vorgaben'!$B$145</f>
        <v>5</v>
      </c>
      <c r="AT38" s="46">
        <f>'Standard Vorgaben'!$C$159</f>
        <v>1</v>
      </c>
      <c r="AU38" s="61">
        <f>'Standard Vorgaben'!$D$159</f>
        <v>37</v>
      </c>
      <c r="AV38" s="43">
        <f>AS38*AU38</f>
        <v>185</v>
      </c>
      <c r="AW38" s="42">
        <f>AV38/$AV$73</f>
        <v>3.3904059407103811E-3</v>
      </c>
      <c r="AX38" s="17" t="s">
        <v>119</v>
      </c>
      <c r="AY38" s="20" t="str">
        <f>'Standard Vorgaben'!$B$159</f>
        <v>Anhängegebläsespritze, 1000l Fass, mit Bordcomputer</v>
      </c>
      <c r="AZ38" s="535">
        <f>'Standard Vorgaben'!$B$145</f>
        <v>5</v>
      </c>
      <c r="BA38" s="46">
        <f>'Standard Vorgaben'!$C$159</f>
        <v>1</v>
      </c>
      <c r="BB38" s="61">
        <f>'Standard Vorgaben'!$D$159</f>
        <v>37</v>
      </c>
      <c r="BC38" s="43">
        <f>AZ38*BB38</f>
        <v>185</v>
      </c>
      <c r="BD38" s="42">
        <f>BC38/$BC$73</f>
        <v>3.4027163152044832E-3</v>
      </c>
      <c r="BE38" s="17" t="s">
        <v>119</v>
      </c>
      <c r="BF38" s="20" t="str">
        <f>'Standard Vorgaben'!$B$159</f>
        <v>Anhängegebläsespritze, 1000l Fass, mit Bordcomputer</v>
      </c>
      <c r="BG38" s="535">
        <f>'Standard Vorgaben'!$B$145</f>
        <v>5</v>
      </c>
      <c r="BH38" s="46">
        <f>'Standard Vorgaben'!$C$159</f>
        <v>1</v>
      </c>
      <c r="BI38" s="61">
        <f>'Standard Vorgaben'!$D$159</f>
        <v>37</v>
      </c>
      <c r="BJ38" s="43">
        <f>BG38*BI38</f>
        <v>185</v>
      </c>
      <c r="BK38" s="42">
        <f>BJ38/$BJ$73</f>
        <v>1.8442324626814393E-3</v>
      </c>
      <c r="BL38" s="17" t="s">
        <v>119</v>
      </c>
      <c r="BM38" s="20" t="str">
        <f>'Standard Vorgaben'!$B$159</f>
        <v>Anhängegebläsespritze, 1000l Fass, mit Bordcomputer</v>
      </c>
      <c r="BN38" s="535">
        <f>'Standard Vorgaben'!$B$145</f>
        <v>5</v>
      </c>
      <c r="BO38" s="46">
        <f>'Standard Vorgaben'!$C$159</f>
        <v>1</v>
      </c>
      <c r="BP38" s="61">
        <f>'Standard Vorgaben'!$D$159</f>
        <v>37</v>
      </c>
      <c r="BQ38" s="43">
        <f>BN38*BP38</f>
        <v>185</v>
      </c>
      <c r="BR38" s="42">
        <f>BQ38/$BQ$73</f>
        <v>3.1375465542130719E-3</v>
      </c>
      <c r="BS38" s="17" t="s">
        <v>119</v>
      </c>
      <c r="BT38" s="20" t="str">
        <f>'Standard Vorgaben'!$B$159</f>
        <v>Anhängegebläsespritze, 1000l Fass, mit Bordcomputer</v>
      </c>
      <c r="BU38" s="535">
        <f>'Standard Vorgaben'!$B$145</f>
        <v>5</v>
      </c>
      <c r="BV38" s="46">
        <f>'Standard Vorgaben'!$C$159</f>
        <v>1</v>
      </c>
      <c r="BW38" s="61">
        <f>'Standard Vorgaben'!$D$159</f>
        <v>37</v>
      </c>
      <c r="BX38" s="43">
        <f>BU38*BW38</f>
        <v>185</v>
      </c>
      <c r="BY38" s="42">
        <f>BX38/$BX$73</f>
        <v>3.4116709571936142E-3</v>
      </c>
      <c r="BZ38" s="17" t="s">
        <v>119</v>
      </c>
      <c r="CA38" s="20" t="str">
        <f>'Standard Vorgaben'!$B$159</f>
        <v>Anhängegebläsespritze, 1000l Fass, mit Bordcomputer</v>
      </c>
      <c r="CB38" s="535">
        <f>'Standard Vorgaben'!$B$145</f>
        <v>5</v>
      </c>
      <c r="CC38" s="46">
        <f>'Standard Vorgaben'!$C$159</f>
        <v>1</v>
      </c>
      <c r="CD38" s="61">
        <f>'Standard Vorgaben'!$D$159</f>
        <v>37</v>
      </c>
      <c r="CE38" s="43">
        <f>CB38*CD38</f>
        <v>185</v>
      </c>
      <c r="CF38" s="42">
        <f>CE38/$CE$73</f>
        <v>3.3333492180396551E-3</v>
      </c>
      <c r="CG38" s="17" t="s">
        <v>119</v>
      </c>
      <c r="CH38" s="20" t="str">
        <f>'Standard Vorgaben'!$B$159</f>
        <v>Anhängegebläsespritze, 1000l Fass, mit Bordcomputer</v>
      </c>
      <c r="CI38" s="535">
        <f>'Standard Vorgaben'!$B$145</f>
        <v>5</v>
      </c>
      <c r="CJ38" s="46">
        <f>'Standard Vorgaben'!$C$159</f>
        <v>1</v>
      </c>
      <c r="CK38" s="61">
        <f>'Standard Vorgaben'!$D$159</f>
        <v>37</v>
      </c>
      <c r="CL38" s="43">
        <f>CI38*CK38</f>
        <v>185</v>
      </c>
      <c r="CM38" s="42">
        <f>CL38/$CL$73</f>
        <v>3.4363523140945396E-3</v>
      </c>
      <c r="CN38" s="17" t="s">
        <v>119</v>
      </c>
      <c r="CO38" s="20" t="str">
        <f>'Standard Vorgaben'!$B$159</f>
        <v>Anhängegebläsespritze, 1000l Fass, mit Bordcomputer</v>
      </c>
      <c r="CP38" s="535">
        <f>'Standard Vorgaben'!$B$145</f>
        <v>5</v>
      </c>
      <c r="CQ38" s="46">
        <f>'Standard Vorgaben'!$C$159</f>
        <v>1</v>
      </c>
      <c r="CR38" s="61">
        <f>'Standard Vorgaben'!$D$159</f>
        <v>37</v>
      </c>
      <c r="CS38" s="43">
        <f>CP38*CR38</f>
        <v>185</v>
      </c>
      <c r="CT38" s="42">
        <f>CS38/$CS$73</f>
        <v>3.4494214928420136E-3</v>
      </c>
      <c r="CU38" s="17" t="s">
        <v>119</v>
      </c>
      <c r="CV38" s="20" t="str">
        <f>'Standard Vorgaben'!$B$159</f>
        <v>Anhängegebläsespritze, 1000l Fass, mit Bordcomputer</v>
      </c>
      <c r="CW38" s="535">
        <f>'Standard Vorgaben'!$B$145</f>
        <v>5</v>
      </c>
      <c r="CX38" s="46">
        <f>'Standard Vorgaben'!$C$159</f>
        <v>1</v>
      </c>
      <c r="CY38" s="61">
        <f>'Standard Vorgaben'!$D$159</f>
        <v>37</v>
      </c>
      <c r="CZ38" s="43">
        <f>CW38*CY38</f>
        <v>185</v>
      </c>
      <c r="DA38" s="42">
        <f>CZ38/$CZ$73</f>
        <v>3.3697050074536837E-3</v>
      </c>
      <c r="DB38" s="17" t="s">
        <v>119</v>
      </c>
      <c r="DC38" s="20" t="str">
        <f>'Standard Vorgaben'!$B$159</f>
        <v>Anhängegebläsespritze, 1000l Fass, mit Bordcomputer</v>
      </c>
      <c r="DD38" s="535">
        <f>'Standard Vorgaben'!$B$145</f>
        <v>5</v>
      </c>
      <c r="DE38" s="46">
        <f>'Standard Vorgaben'!$C$159</f>
        <v>1</v>
      </c>
      <c r="DF38" s="61">
        <f>'Standard Vorgaben'!$D$159</f>
        <v>37</v>
      </c>
      <c r="DG38" s="43">
        <f>DD38*DF38</f>
        <v>185</v>
      </c>
      <c r="DH38" s="42">
        <f>DG38/$DG$73</f>
        <v>3.1233127889790826E-3</v>
      </c>
    </row>
    <row r="39" spans="1:112" x14ac:dyDescent="0.2">
      <c r="B39" s="20" t="str">
        <f>'Standard Vorgaben'!$B$161</f>
        <v>Düngerstreuer Einkasten 2.5 m</v>
      </c>
      <c r="C39" s="351">
        <f>C14</f>
        <v>1</v>
      </c>
      <c r="D39" s="46">
        <f>'Standard Vorgaben'!$C$161</f>
        <v>1</v>
      </c>
      <c r="E39" s="61">
        <f>'Standard Vorgaben'!$D$161</f>
        <v>18</v>
      </c>
      <c r="F39" s="43">
        <f>C39*E39</f>
        <v>18</v>
      </c>
      <c r="G39" s="42">
        <f t="shared" si="17"/>
        <v>1.4913568583063688E-3</v>
      </c>
      <c r="H39" s="17"/>
      <c r="I39" s="20" t="str">
        <f>'Standard Vorgaben'!$B$161</f>
        <v>Düngerstreuer Einkasten 2.5 m</v>
      </c>
      <c r="J39" s="351">
        <f>J14</f>
        <v>1</v>
      </c>
      <c r="K39" s="46">
        <f>'Standard Vorgaben'!$C$161</f>
        <v>1</v>
      </c>
      <c r="L39" s="61">
        <f>'Standard Vorgaben'!$D$161</f>
        <v>18</v>
      </c>
      <c r="M39" s="43">
        <f>J39*L39</f>
        <v>18</v>
      </c>
      <c r="N39" s="42">
        <f>M39/$M$73</f>
        <v>1.4752439586488946E-3</v>
      </c>
      <c r="O39" s="3"/>
      <c r="P39" s="20" t="str">
        <f>'Standard Vorgaben'!$B$161</f>
        <v>Düngerstreuer Einkasten 2.5 m</v>
      </c>
      <c r="Q39" s="351">
        <f>Q14</f>
        <v>1</v>
      </c>
      <c r="R39" s="46">
        <f>'Standard Vorgaben'!$C$161</f>
        <v>1</v>
      </c>
      <c r="S39" s="61">
        <f>'Standard Vorgaben'!$D$161</f>
        <v>18</v>
      </c>
      <c r="T39" s="43">
        <f>Q39*S39</f>
        <v>18</v>
      </c>
      <c r="U39" s="42">
        <f>T39/$T$73</f>
        <v>2.1014306542178104E-4</v>
      </c>
      <c r="V39" s="17"/>
      <c r="W39" s="20" t="str">
        <f>'Standard Vorgaben'!$B$161</f>
        <v>Düngerstreuer Einkasten 2.5 m</v>
      </c>
      <c r="X39" s="351">
        <f>X14</f>
        <v>1</v>
      </c>
      <c r="Y39" s="46">
        <f>'Standard Vorgaben'!$C$161</f>
        <v>1</v>
      </c>
      <c r="Z39" s="61">
        <f>'Standard Vorgaben'!$D$161</f>
        <v>18</v>
      </c>
      <c r="AA39" s="43">
        <f>X39*Z39</f>
        <v>18</v>
      </c>
      <c r="AB39" s="42">
        <f>AA39/$AA$73</f>
        <v>5.3528634527089363E-4</v>
      </c>
      <c r="AC39" s="17"/>
      <c r="AD39" s="20" t="str">
        <f>'Standard Vorgaben'!$B$161</f>
        <v>Düngerstreuer Einkasten 2.5 m</v>
      </c>
      <c r="AE39" s="351">
        <f>AE14</f>
        <v>1</v>
      </c>
      <c r="AF39" s="46">
        <f>'Standard Vorgaben'!$C$161</f>
        <v>1</v>
      </c>
      <c r="AG39" s="61">
        <f>'Standard Vorgaben'!$D$161</f>
        <v>18</v>
      </c>
      <c r="AH39" s="43">
        <f>AE39*AG39</f>
        <v>18</v>
      </c>
      <c r="AI39" s="42">
        <f>AH39/$AH$73</f>
        <v>3.2761671420567217E-4</v>
      </c>
      <c r="AJ39" s="17"/>
      <c r="AK39" s="20" t="str">
        <f>'Standard Vorgaben'!$B$161</f>
        <v>Düngerstreuer Einkasten 2.5 m</v>
      </c>
      <c r="AL39" s="351">
        <f>AL14</f>
        <v>1</v>
      </c>
      <c r="AM39" s="46">
        <f>'Standard Vorgaben'!$C$161</f>
        <v>1</v>
      </c>
      <c r="AN39" s="61">
        <f>'Standard Vorgaben'!$D$161</f>
        <v>18</v>
      </c>
      <c r="AO39" s="43">
        <f>AL39*AN39</f>
        <v>18</v>
      </c>
      <c r="AP39" s="42">
        <f>AO39/$AO$73</f>
        <v>3.2015476155111634E-4</v>
      </c>
      <c r="AQ39" s="17"/>
      <c r="AR39" s="20" t="str">
        <f>'Standard Vorgaben'!$B$161</f>
        <v>Düngerstreuer Einkasten 2.5 m</v>
      </c>
      <c r="AS39" s="351">
        <f>AS14</f>
        <v>1</v>
      </c>
      <c r="AT39" s="46">
        <f>'Standard Vorgaben'!$C$161</f>
        <v>1</v>
      </c>
      <c r="AU39" s="61">
        <f>'Standard Vorgaben'!$D$161</f>
        <v>18</v>
      </c>
      <c r="AV39" s="43">
        <f>AS39*AU39</f>
        <v>18</v>
      </c>
      <c r="AW39" s="42">
        <f>AV39/$AV$73</f>
        <v>3.2987733477182085E-4</v>
      </c>
      <c r="AX39" s="17"/>
      <c r="AY39" s="20" t="str">
        <f>'Standard Vorgaben'!$B$161</f>
        <v>Düngerstreuer Einkasten 2.5 m</v>
      </c>
      <c r="AZ39" s="351">
        <f>AZ14</f>
        <v>1</v>
      </c>
      <c r="BA39" s="46">
        <f>'Standard Vorgaben'!$C$161</f>
        <v>1</v>
      </c>
      <c r="BB39" s="61">
        <f>'Standard Vorgaben'!$D$161</f>
        <v>18</v>
      </c>
      <c r="BC39" s="43">
        <f>AZ39*BB39</f>
        <v>18</v>
      </c>
      <c r="BD39" s="42">
        <f>BC39/$BC$73</f>
        <v>3.3107510093881461E-4</v>
      </c>
      <c r="BE39" s="17"/>
      <c r="BF39" s="20" t="str">
        <f>'Standard Vorgaben'!$B$161</f>
        <v>Düngerstreuer Einkasten 2.5 m</v>
      </c>
      <c r="BG39" s="351">
        <f>BG14</f>
        <v>1</v>
      </c>
      <c r="BH39" s="46">
        <f>'Standard Vorgaben'!$C$161</f>
        <v>1</v>
      </c>
      <c r="BI39" s="61">
        <f>'Standard Vorgaben'!$D$161</f>
        <v>18</v>
      </c>
      <c r="BJ39" s="43">
        <f>BG39*BI39</f>
        <v>18</v>
      </c>
      <c r="BK39" s="42">
        <f>BJ39/$BJ$73</f>
        <v>1.7943883420684274E-4</v>
      </c>
      <c r="BL39" s="17"/>
      <c r="BM39" s="20" t="str">
        <f>'Standard Vorgaben'!$B$161</f>
        <v>Düngerstreuer Einkasten 2.5 m</v>
      </c>
      <c r="BN39" s="351">
        <f>BN14</f>
        <v>1</v>
      </c>
      <c r="BO39" s="46">
        <f>'Standard Vorgaben'!$C$161</f>
        <v>1</v>
      </c>
      <c r="BP39" s="61">
        <f>'Standard Vorgaben'!$D$161</f>
        <v>18</v>
      </c>
      <c r="BQ39" s="43">
        <f>BN39*BP39</f>
        <v>18</v>
      </c>
      <c r="BR39" s="42">
        <f>BQ39/$BQ$73</f>
        <v>3.0527479986937995E-4</v>
      </c>
      <c r="BS39" s="17"/>
      <c r="BT39" s="20" t="str">
        <f>'Standard Vorgaben'!$B$161</f>
        <v>Düngerstreuer Einkasten 2.5 m</v>
      </c>
      <c r="BU39" s="351">
        <f>BU14</f>
        <v>1</v>
      </c>
      <c r="BV39" s="46">
        <f>'Standard Vorgaben'!$C$161</f>
        <v>1</v>
      </c>
      <c r="BW39" s="61">
        <f>'Standard Vorgaben'!$D$161</f>
        <v>18</v>
      </c>
      <c r="BX39" s="43">
        <f>BU39*BW39</f>
        <v>18</v>
      </c>
      <c r="BY39" s="42">
        <f>BX39/$BX$73</f>
        <v>3.3194636340262191E-4</v>
      </c>
      <c r="BZ39" s="17"/>
      <c r="CA39" s="20" t="str">
        <f>'Standard Vorgaben'!$B$161</f>
        <v>Düngerstreuer Einkasten 2.5 m</v>
      </c>
      <c r="CB39" s="351">
        <f>CB14</f>
        <v>1</v>
      </c>
      <c r="CC39" s="46">
        <f>'Standard Vorgaben'!$C$161</f>
        <v>1</v>
      </c>
      <c r="CD39" s="61">
        <f>'Standard Vorgaben'!$D$161</f>
        <v>18</v>
      </c>
      <c r="CE39" s="43">
        <f>CB39*CD39</f>
        <v>18</v>
      </c>
      <c r="CF39" s="42">
        <f>CE39/$CE$73</f>
        <v>3.2432586986331781E-4</v>
      </c>
      <c r="CG39" s="17"/>
      <c r="CH39" s="20" t="str">
        <f>'Standard Vorgaben'!$B$161</f>
        <v>Düngerstreuer Einkasten 2.5 m</v>
      </c>
      <c r="CI39" s="351">
        <f>CI14</f>
        <v>1</v>
      </c>
      <c r="CJ39" s="46">
        <f>'Standard Vorgaben'!$C$161</f>
        <v>1</v>
      </c>
      <c r="CK39" s="61">
        <f>'Standard Vorgaben'!$D$161</f>
        <v>18</v>
      </c>
      <c r="CL39" s="43">
        <f>CI39*CK39</f>
        <v>18</v>
      </c>
      <c r="CM39" s="42">
        <f>CL39/$CL$73</f>
        <v>3.3434779272271199E-4</v>
      </c>
      <c r="CN39" s="17"/>
      <c r="CO39" s="20" t="str">
        <f>'Standard Vorgaben'!$B$161</f>
        <v>Düngerstreuer Einkasten 2.5 m</v>
      </c>
      <c r="CP39" s="351">
        <f>CP14</f>
        <v>1</v>
      </c>
      <c r="CQ39" s="46">
        <f>'Standard Vorgaben'!$C$161</f>
        <v>1</v>
      </c>
      <c r="CR39" s="61">
        <f>'Standard Vorgaben'!$D$161</f>
        <v>18</v>
      </c>
      <c r="CS39" s="43">
        <f>CP39*CR39</f>
        <v>18</v>
      </c>
      <c r="CT39" s="42">
        <f>CS39/$CS$73</f>
        <v>3.3561938849273646E-4</v>
      </c>
      <c r="CU39" s="17"/>
      <c r="CV39" s="20" t="str">
        <f>'Standard Vorgaben'!$B$161</f>
        <v>Düngerstreuer Einkasten 2.5 m</v>
      </c>
      <c r="CW39" s="351">
        <f>CW14</f>
        <v>1</v>
      </c>
      <c r="CX39" s="46">
        <f>'Standard Vorgaben'!$C$161</f>
        <v>1</v>
      </c>
      <c r="CY39" s="61">
        <f>'Standard Vorgaben'!$D$161</f>
        <v>18</v>
      </c>
      <c r="CZ39" s="43">
        <f>CW39*CY39</f>
        <v>18</v>
      </c>
      <c r="DA39" s="42">
        <f>CZ39/$CZ$73</f>
        <v>3.2786318991441244E-4</v>
      </c>
      <c r="DB39" s="17"/>
      <c r="DC39" s="20" t="str">
        <f>'Standard Vorgaben'!$B$161</f>
        <v>Düngerstreuer Einkasten 2.5 m</v>
      </c>
      <c r="DD39" s="351">
        <f>DD14</f>
        <v>1</v>
      </c>
      <c r="DE39" s="46">
        <f>'Standard Vorgaben'!$C$161</f>
        <v>1</v>
      </c>
      <c r="DF39" s="61">
        <f>'Standard Vorgaben'!$D$161</f>
        <v>18</v>
      </c>
      <c r="DG39" s="43">
        <f>DD39*DF39</f>
        <v>18</v>
      </c>
      <c r="DH39" s="42">
        <f>DG39/$DG$73</f>
        <v>3.0388989298174861E-4</v>
      </c>
    </row>
    <row r="40" spans="1:112" x14ac:dyDescent="0.2">
      <c r="B40" s="20" t="str">
        <f>'Standard Vorgaben'!$B$162</f>
        <v>Kompoststreuer für Obstanlagen, um 3m³</v>
      </c>
      <c r="C40" s="535">
        <f>C15+C16</f>
        <v>0</v>
      </c>
      <c r="D40" s="46">
        <f>'Standard Vorgaben'!$C$162</f>
        <v>0.38461538461538458</v>
      </c>
      <c r="E40" s="61">
        <f>'Standard Vorgaben'!$D$162</f>
        <v>44</v>
      </c>
      <c r="F40" s="43">
        <f>C40*E40</f>
        <v>0</v>
      </c>
      <c r="G40" s="42">
        <f t="shared" si="17"/>
        <v>0</v>
      </c>
      <c r="H40" s="17"/>
      <c r="I40" s="20" t="str">
        <f>'Standard Vorgaben'!$B$162</f>
        <v>Kompoststreuer für Obstanlagen, um 3m³</v>
      </c>
      <c r="J40" s="535">
        <f>J15+J16</f>
        <v>0</v>
      </c>
      <c r="K40" s="46">
        <f>'Standard Vorgaben'!$C$162</f>
        <v>0.38461538461538458</v>
      </c>
      <c r="L40" s="61">
        <f>'Standard Vorgaben'!$D$162</f>
        <v>44</v>
      </c>
      <c r="M40" s="43">
        <f>J40*L40</f>
        <v>0</v>
      </c>
      <c r="N40" s="42">
        <f>M40/$M$73</f>
        <v>0</v>
      </c>
      <c r="O40" s="3"/>
      <c r="P40" s="20" t="str">
        <f>'Standard Vorgaben'!$B$162</f>
        <v>Kompoststreuer für Obstanlagen, um 3m³</v>
      </c>
      <c r="Q40" s="535">
        <f>Q15+Q16</f>
        <v>22</v>
      </c>
      <c r="R40" s="46">
        <f>'Standard Vorgaben'!$C$162</f>
        <v>0.38461538461538458</v>
      </c>
      <c r="S40" s="61">
        <f>'Standard Vorgaben'!$D$162</f>
        <v>44</v>
      </c>
      <c r="T40" s="43">
        <f>Q40*S40</f>
        <v>968</v>
      </c>
      <c r="U40" s="42">
        <f>T40/$T$73</f>
        <v>1.1301027073793558E-2</v>
      </c>
      <c r="V40" s="17"/>
      <c r="W40" s="20" t="str">
        <f>'Standard Vorgaben'!$B$162</f>
        <v>Kompoststreuer für Obstanlagen, um 3m³</v>
      </c>
      <c r="X40" s="535">
        <f>X15+X16</f>
        <v>9.3333333333333339</v>
      </c>
      <c r="Y40" s="46">
        <f>'Standard Vorgaben'!$C$162</f>
        <v>0.38461538461538458</v>
      </c>
      <c r="Z40" s="61">
        <f>'Standard Vorgaben'!$D$162</f>
        <v>44</v>
      </c>
      <c r="AA40" s="43">
        <f>X40*Z40</f>
        <v>410.66666666666669</v>
      </c>
      <c r="AB40" s="42">
        <f>AA40/$AA$73</f>
        <v>1.2212458840254464E-2</v>
      </c>
      <c r="AC40" s="17"/>
      <c r="AD40" s="20" t="str">
        <f>'Standard Vorgaben'!$B$162</f>
        <v>Kompoststreuer für Obstanlagen, um 3m³</v>
      </c>
      <c r="AE40" s="535">
        <f>AE15+AE16</f>
        <v>14</v>
      </c>
      <c r="AF40" s="46">
        <f>'Standard Vorgaben'!$C$162</f>
        <v>0.38461538461538458</v>
      </c>
      <c r="AG40" s="61">
        <f>'Standard Vorgaben'!$D$162</f>
        <v>44</v>
      </c>
      <c r="AH40" s="43">
        <f>AE40*AG40</f>
        <v>616</v>
      </c>
      <c r="AI40" s="42">
        <f>AH40/$AH$73</f>
        <v>1.1211771997260781E-2</v>
      </c>
      <c r="AJ40" s="17"/>
      <c r="AK40" s="20" t="str">
        <f>'Standard Vorgaben'!$B$162</f>
        <v>Kompoststreuer für Obstanlagen, um 3m³</v>
      </c>
      <c r="AL40" s="535">
        <f>AL15+AL16</f>
        <v>33</v>
      </c>
      <c r="AM40" s="46">
        <f>'Standard Vorgaben'!$C$162</f>
        <v>0.38461538461538458</v>
      </c>
      <c r="AN40" s="61">
        <f>'Standard Vorgaben'!$D$162</f>
        <v>44</v>
      </c>
      <c r="AO40" s="43">
        <f>AL40*AN40</f>
        <v>1452</v>
      </c>
      <c r="AP40" s="42">
        <f>AO40/$AO$73</f>
        <v>2.5825817431790053E-2</v>
      </c>
      <c r="AQ40" s="17"/>
      <c r="AR40" s="20" t="str">
        <f>'Standard Vorgaben'!$B$162</f>
        <v>Kompoststreuer für Obstanlagen, um 3m³</v>
      </c>
      <c r="AS40" s="535">
        <f>AS15+AS16</f>
        <v>14</v>
      </c>
      <c r="AT40" s="46">
        <f>'Standard Vorgaben'!$C$162</f>
        <v>0.38461538461538458</v>
      </c>
      <c r="AU40" s="61">
        <f>'Standard Vorgaben'!$D$162</f>
        <v>44</v>
      </c>
      <c r="AV40" s="43">
        <f>AS40*AU40</f>
        <v>616</v>
      </c>
      <c r="AW40" s="42">
        <f>AV40/$AV$73</f>
        <v>1.1289135456635646E-2</v>
      </c>
      <c r="AX40" s="17"/>
      <c r="AY40" s="20" t="str">
        <f>'Standard Vorgaben'!$B$162</f>
        <v>Kompoststreuer für Obstanlagen, um 3m³</v>
      </c>
      <c r="AZ40" s="535">
        <f>AZ15+AZ16</f>
        <v>14</v>
      </c>
      <c r="BA40" s="46">
        <f>'Standard Vorgaben'!$C$162</f>
        <v>0.38461538461538458</v>
      </c>
      <c r="BB40" s="61">
        <f>'Standard Vorgaben'!$D$162</f>
        <v>44</v>
      </c>
      <c r="BC40" s="43">
        <f>AZ40*BB40</f>
        <v>616</v>
      </c>
      <c r="BD40" s="42">
        <f>BC40/$BC$73</f>
        <v>1.1330125676572766E-2</v>
      </c>
      <c r="BE40" s="17"/>
      <c r="BF40" s="20" t="str">
        <f>'Standard Vorgaben'!$B$162</f>
        <v>Kompoststreuer für Obstanlagen, um 3m³</v>
      </c>
      <c r="BG40" s="535">
        <f>BG15+BG16</f>
        <v>33</v>
      </c>
      <c r="BH40" s="46">
        <f>'Standard Vorgaben'!$C$162</f>
        <v>0.38461538461538458</v>
      </c>
      <c r="BI40" s="61">
        <f>'Standard Vorgaben'!$D$162</f>
        <v>44</v>
      </c>
      <c r="BJ40" s="43">
        <f>BG40*BI40</f>
        <v>1452</v>
      </c>
      <c r="BK40" s="42">
        <f>BJ40/$BJ$73</f>
        <v>1.4474732626018647E-2</v>
      </c>
      <c r="BL40" s="17"/>
      <c r="BM40" s="20" t="str">
        <f>'Standard Vorgaben'!$B$162</f>
        <v>Kompoststreuer für Obstanlagen, um 3m³</v>
      </c>
      <c r="BN40" s="535">
        <f>BN15+BN16</f>
        <v>14</v>
      </c>
      <c r="BO40" s="46">
        <f>'Standard Vorgaben'!$C$162</f>
        <v>0.38461538461538458</v>
      </c>
      <c r="BP40" s="61">
        <f>'Standard Vorgaben'!$D$162</f>
        <v>44</v>
      </c>
      <c r="BQ40" s="43">
        <f>BN40*BP40</f>
        <v>616</v>
      </c>
      <c r="BR40" s="42">
        <f>BQ40/$BQ$73</f>
        <v>1.0447182039974336E-2</v>
      </c>
      <c r="BS40" s="17"/>
      <c r="BT40" s="20" t="str">
        <f>'Standard Vorgaben'!$B$162</f>
        <v>Kompoststreuer für Obstanlagen, um 3m³</v>
      </c>
      <c r="BU40" s="535">
        <f>BU15+BU16</f>
        <v>14</v>
      </c>
      <c r="BV40" s="46">
        <f>'Standard Vorgaben'!$C$162</f>
        <v>0.38461538461538458</v>
      </c>
      <c r="BW40" s="61">
        <f>'Standard Vorgaben'!$D$162</f>
        <v>44</v>
      </c>
      <c r="BX40" s="43">
        <f>BU40*BW40</f>
        <v>616</v>
      </c>
      <c r="BY40" s="42">
        <f>BX40/$BX$73</f>
        <v>1.1359942214223061E-2</v>
      </c>
      <c r="BZ40" s="17"/>
      <c r="CA40" s="20" t="str">
        <f>'Standard Vorgaben'!$B$162</f>
        <v>Kompoststreuer für Obstanlagen, um 3m³</v>
      </c>
      <c r="CB40" s="535">
        <f>CB15+CB16</f>
        <v>33</v>
      </c>
      <c r="CC40" s="46">
        <f>'Standard Vorgaben'!$C$162</f>
        <v>0.38461538461538458</v>
      </c>
      <c r="CD40" s="61">
        <f>'Standard Vorgaben'!$D$162</f>
        <v>44</v>
      </c>
      <c r="CE40" s="43">
        <f>CB40*CD40</f>
        <v>1452</v>
      </c>
      <c r="CF40" s="42">
        <f>CE40/$CE$73</f>
        <v>2.6162286835640969E-2</v>
      </c>
      <c r="CG40" s="17"/>
      <c r="CH40" s="20" t="str">
        <f>'Standard Vorgaben'!$B$162</f>
        <v>Kompoststreuer für Obstanlagen, um 3m³</v>
      </c>
      <c r="CI40" s="535">
        <f>CI15+CI16</f>
        <v>14</v>
      </c>
      <c r="CJ40" s="46">
        <f>'Standard Vorgaben'!$C$162</f>
        <v>0.38461538461538458</v>
      </c>
      <c r="CK40" s="61">
        <f>'Standard Vorgaben'!$D$162</f>
        <v>44</v>
      </c>
      <c r="CL40" s="43">
        <f>CI40*CK40</f>
        <v>616</v>
      </c>
      <c r="CM40" s="42">
        <f>CL40/$CL$73</f>
        <v>1.1442124462066144E-2</v>
      </c>
      <c r="CN40" s="17"/>
      <c r="CO40" s="20" t="str">
        <f>'Standard Vorgaben'!$B$162</f>
        <v>Kompoststreuer für Obstanlagen, um 3m³</v>
      </c>
      <c r="CP40" s="535">
        <f>CP15+CP16</f>
        <v>14</v>
      </c>
      <c r="CQ40" s="46">
        <f>'Standard Vorgaben'!$C$162</f>
        <v>0.38461538461538458</v>
      </c>
      <c r="CR40" s="61">
        <f>'Standard Vorgaben'!$D$162</f>
        <v>44</v>
      </c>
      <c r="CS40" s="43">
        <f>CP40*CR40</f>
        <v>616</v>
      </c>
      <c r="CT40" s="42">
        <f>CS40/$CS$73</f>
        <v>1.1485641295084758E-2</v>
      </c>
      <c r="CU40" s="17"/>
      <c r="CV40" s="20" t="str">
        <f>'Standard Vorgaben'!$B$162</f>
        <v>Kompoststreuer für Obstanlagen, um 3m³</v>
      </c>
      <c r="CW40" s="535">
        <f>CW15+CW16</f>
        <v>33</v>
      </c>
      <c r="CX40" s="46">
        <f>'Standard Vorgaben'!$C$162</f>
        <v>0.38461538461538458</v>
      </c>
      <c r="CY40" s="61">
        <f>'Standard Vorgaben'!$D$162</f>
        <v>44</v>
      </c>
      <c r="CZ40" s="43">
        <f>CW40*CY40</f>
        <v>1452</v>
      </c>
      <c r="DA40" s="42">
        <f>CZ40/$CZ$73</f>
        <v>2.6447630653095938E-2</v>
      </c>
      <c r="DB40" s="17"/>
      <c r="DC40" s="20" t="str">
        <f>'Standard Vorgaben'!$B$162</f>
        <v>Kompoststreuer für Obstanlagen, um 3m³</v>
      </c>
      <c r="DD40" s="535">
        <f>DD15+DD16</f>
        <v>14</v>
      </c>
      <c r="DE40" s="46">
        <f>'Standard Vorgaben'!$C$162</f>
        <v>0.38461538461538458</v>
      </c>
      <c r="DF40" s="61">
        <f>'Standard Vorgaben'!$D$162</f>
        <v>44</v>
      </c>
      <c r="DG40" s="43">
        <f>DD40*DF40</f>
        <v>616</v>
      </c>
      <c r="DH40" s="42">
        <f>DG40/$DG$73</f>
        <v>1.0399787448708731E-2</v>
      </c>
    </row>
    <row r="41" spans="1:112" x14ac:dyDescent="0.2">
      <c r="B41" s="20" t="str">
        <f>'Standard Vorgaben'!$B$163</f>
        <v>Hackgerät Ladurner, einseitig</v>
      </c>
      <c r="C41" s="351">
        <f>'Standard Vorgaben'!$B$122</f>
        <v>3</v>
      </c>
      <c r="D41" s="46">
        <f>'Standard Vorgaben'!$C$163</f>
        <v>2</v>
      </c>
      <c r="E41" s="61">
        <f>'Standard Vorgaben'!$D$163</f>
        <v>130</v>
      </c>
      <c r="F41" s="43">
        <f>C41*E41</f>
        <v>390</v>
      </c>
      <c r="G41" s="42">
        <f t="shared" si="17"/>
        <v>3.2312731929971326E-2</v>
      </c>
      <c r="H41" s="17"/>
      <c r="I41" s="20" t="str">
        <f>'Standard Vorgaben'!$B$163</f>
        <v>Hackgerät Ladurner, einseitig</v>
      </c>
      <c r="J41" s="351">
        <f>'Standard Vorgaben'!$B$122</f>
        <v>3</v>
      </c>
      <c r="K41" s="46">
        <f>'Standard Vorgaben'!$C$163</f>
        <v>2</v>
      </c>
      <c r="L41" s="61">
        <f>'Standard Vorgaben'!$D$163</f>
        <v>130</v>
      </c>
      <c r="M41" s="43">
        <f>J41*L41</f>
        <v>390</v>
      </c>
      <c r="N41" s="42">
        <f>M41/$M$73</f>
        <v>3.1963619104059385E-2</v>
      </c>
      <c r="O41" s="3"/>
      <c r="P41" s="20" t="str">
        <f>'Standard Vorgaben'!$B$163</f>
        <v>Hackgerät Ladurner, einseitig</v>
      </c>
      <c r="Q41" s="351">
        <f>'Standard Vorgaben'!$B$136</f>
        <v>3</v>
      </c>
      <c r="R41" s="46">
        <f>'Standard Vorgaben'!$C$163</f>
        <v>2</v>
      </c>
      <c r="S41" s="61">
        <f>'Standard Vorgaben'!$D$163</f>
        <v>130</v>
      </c>
      <c r="T41" s="43">
        <f>Q41*S41</f>
        <v>390</v>
      </c>
      <c r="U41" s="42">
        <f>T41/$T$73</f>
        <v>4.5530997508052553E-3</v>
      </c>
      <c r="V41" s="17"/>
      <c r="W41" s="20" t="str">
        <f>'Standard Vorgaben'!$B$163</f>
        <v>Hackgerät Ladurner, einseitig</v>
      </c>
      <c r="X41" s="351">
        <f>'Standard Vorgaben'!$B$136</f>
        <v>3</v>
      </c>
      <c r="Y41" s="46">
        <f>'Standard Vorgaben'!$C$163</f>
        <v>2</v>
      </c>
      <c r="Z41" s="61">
        <f>'Standard Vorgaben'!$D$163</f>
        <v>130</v>
      </c>
      <c r="AA41" s="43">
        <f>X41*Z41</f>
        <v>390</v>
      </c>
      <c r="AB41" s="42">
        <f>AA41/$AA$73</f>
        <v>1.1597870814202696E-2</v>
      </c>
      <c r="AC41" s="17"/>
      <c r="AD41" s="20" t="str">
        <f>'Standard Vorgaben'!$B$163</f>
        <v>Hackgerät Ladurner, einseitig</v>
      </c>
      <c r="AE41" s="351">
        <f>'Standard Vorgaben'!$B$146</f>
        <v>3</v>
      </c>
      <c r="AF41" s="46">
        <f>'Standard Vorgaben'!$C$163</f>
        <v>2</v>
      </c>
      <c r="AG41" s="61">
        <f>'Standard Vorgaben'!$D$163</f>
        <v>130</v>
      </c>
      <c r="AH41" s="43">
        <f>AE41*AG41</f>
        <v>390</v>
      </c>
      <c r="AI41" s="42">
        <f>AH41/$AH$73</f>
        <v>7.0983621411228968E-3</v>
      </c>
      <c r="AJ41" s="17"/>
      <c r="AK41" s="20" t="str">
        <f>'Standard Vorgaben'!$B$163</f>
        <v>Hackgerät Ladurner, einseitig</v>
      </c>
      <c r="AL41" s="351">
        <f>'Standard Vorgaben'!$B$146</f>
        <v>3</v>
      </c>
      <c r="AM41" s="46">
        <f>'Standard Vorgaben'!$C$163</f>
        <v>2</v>
      </c>
      <c r="AN41" s="61">
        <f>'Standard Vorgaben'!$D$163</f>
        <v>130</v>
      </c>
      <c r="AO41" s="43">
        <f>AL41*AN41</f>
        <v>390</v>
      </c>
      <c r="AP41" s="42">
        <f>AO41/$AO$73</f>
        <v>6.9366865002741876E-3</v>
      </c>
      <c r="AQ41" s="17"/>
      <c r="AR41" s="20" t="str">
        <f>'Standard Vorgaben'!$B$163</f>
        <v>Hackgerät Ladurner, einseitig</v>
      </c>
      <c r="AS41" s="351">
        <f>'Standard Vorgaben'!$B$146</f>
        <v>3</v>
      </c>
      <c r="AT41" s="46">
        <f>'Standard Vorgaben'!$C$163</f>
        <v>2</v>
      </c>
      <c r="AU41" s="61">
        <f>'Standard Vorgaben'!$D$163</f>
        <v>130</v>
      </c>
      <c r="AV41" s="43">
        <f>AS41*AU41</f>
        <v>390</v>
      </c>
      <c r="AW41" s="42">
        <f>AV41/$AV$73</f>
        <v>7.1473422533894519E-3</v>
      </c>
      <c r="AX41" s="17"/>
      <c r="AY41" s="20" t="str">
        <f>'Standard Vorgaben'!$B$163</f>
        <v>Hackgerät Ladurner, einseitig</v>
      </c>
      <c r="AZ41" s="351">
        <f>'Standard Vorgaben'!$B$146</f>
        <v>3</v>
      </c>
      <c r="BA41" s="46">
        <f>'Standard Vorgaben'!$C$163</f>
        <v>2</v>
      </c>
      <c r="BB41" s="61">
        <f>'Standard Vorgaben'!$D$163</f>
        <v>130</v>
      </c>
      <c r="BC41" s="43">
        <f>AZ41*BB41</f>
        <v>390</v>
      </c>
      <c r="BD41" s="42">
        <f>BC41/$BC$73</f>
        <v>7.173293853674316E-3</v>
      </c>
      <c r="BE41" s="17"/>
      <c r="BF41" s="20" t="str">
        <f>'Standard Vorgaben'!$B$163</f>
        <v>Hackgerät Ladurner, einseitig</v>
      </c>
      <c r="BG41" s="351">
        <f>'Standard Vorgaben'!$B$146</f>
        <v>3</v>
      </c>
      <c r="BH41" s="46">
        <f>'Standard Vorgaben'!$C$163</f>
        <v>2</v>
      </c>
      <c r="BI41" s="61">
        <f>'Standard Vorgaben'!$D$163</f>
        <v>130</v>
      </c>
      <c r="BJ41" s="43">
        <f>BG41*BI41</f>
        <v>390</v>
      </c>
      <c r="BK41" s="42">
        <f>BJ41/$BJ$73</f>
        <v>3.8878414078149259E-3</v>
      </c>
      <c r="BL41" s="17"/>
      <c r="BM41" s="20" t="str">
        <f>'Standard Vorgaben'!$B$163</f>
        <v>Hackgerät Ladurner, einseitig</v>
      </c>
      <c r="BN41" s="351">
        <f>'Standard Vorgaben'!$B$146</f>
        <v>3</v>
      </c>
      <c r="BO41" s="46">
        <f>'Standard Vorgaben'!$C$163</f>
        <v>2</v>
      </c>
      <c r="BP41" s="61">
        <f>'Standard Vorgaben'!$D$163</f>
        <v>130</v>
      </c>
      <c r="BQ41" s="43">
        <f>BN41*BP41</f>
        <v>390</v>
      </c>
      <c r="BR41" s="42">
        <f>BQ41/$BQ$73</f>
        <v>6.6142873305032324E-3</v>
      </c>
      <c r="BS41" s="17"/>
      <c r="BT41" s="20" t="str">
        <f>'Standard Vorgaben'!$B$163</f>
        <v>Hackgerät Ladurner, einseitig</v>
      </c>
      <c r="BU41" s="351">
        <f>'Standard Vorgaben'!$B$146</f>
        <v>3</v>
      </c>
      <c r="BV41" s="46">
        <f>'Standard Vorgaben'!$C$163</f>
        <v>2</v>
      </c>
      <c r="BW41" s="61">
        <f>'Standard Vorgaben'!$D$163</f>
        <v>130</v>
      </c>
      <c r="BX41" s="43">
        <f>BU41*BW41</f>
        <v>390</v>
      </c>
      <c r="BY41" s="42">
        <f>BX41/$BX$73</f>
        <v>7.1921712070568081E-3</v>
      </c>
      <c r="BZ41" s="17"/>
      <c r="CA41" s="20" t="str">
        <f>'Standard Vorgaben'!$B$163</f>
        <v>Hackgerät Ladurner, einseitig</v>
      </c>
      <c r="CB41" s="351">
        <f>'Standard Vorgaben'!$B$146</f>
        <v>3</v>
      </c>
      <c r="CC41" s="46">
        <f>'Standard Vorgaben'!$C$163</f>
        <v>2</v>
      </c>
      <c r="CD41" s="61">
        <f>'Standard Vorgaben'!$D$163</f>
        <v>130</v>
      </c>
      <c r="CE41" s="43">
        <f>CB41*CD41</f>
        <v>390</v>
      </c>
      <c r="CF41" s="42">
        <f>CE41/$CE$73</f>
        <v>7.0270605137052189E-3</v>
      </c>
      <c r="CG41" s="17"/>
      <c r="CH41" s="20" t="str">
        <f>'Standard Vorgaben'!$B$163</f>
        <v>Hackgerät Ladurner, einseitig</v>
      </c>
      <c r="CI41" s="351">
        <f>'Standard Vorgaben'!$B$146</f>
        <v>3</v>
      </c>
      <c r="CJ41" s="46">
        <f>'Standard Vorgaben'!$C$163</f>
        <v>2</v>
      </c>
      <c r="CK41" s="61">
        <f>'Standard Vorgaben'!$D$163</f>
        <v>130</v>
      </c>
      <c r="CL41" s="43">
        <f>CI41*CK41</f>
        <v>390</v>
      </c>
      <c r="CM41" s="42">
        <f>CL41/$CL$73</f>
        <v>7.2442021756587592E-3</v>
      </c>
      <c r="CN41" s="17"/>
      <c r="CO41" s="20" t="str">
        <f>'Standard Vorgaben'!$B$163</f>
        <v>Hackgerät Ladurner, einseitig</v>
      </c>
      <c r="CP41" s="351">
        <f>'Standard Vorgaben'!$B$146</f>
        <v>3</v>
      </c>
      <c r="CQ41" s="46">
        <f>'Standard Vorgaben'!$C$163</f>
        <v>2</v>
      </c>
      <c r="CR41" s="61">
        <f>'Standard Vorgaben'!$D$163</f>
        <v>130</v>
      </c>
      <c r="CS41" s="43">
        <f>CP41*CR41</f>
        <v>390</v>
      </c>
      <c r="CT41" s="42">
        <f>CS41/$CS$73</f>
        <v>7.2717534173426229E-3</v>
      </c>
      <c r="CU41" s="17"/>
      <c r="CV41" s="20" t="str">
        <f>'Standard Vorgaben'!$B$163</f>
        <v>Hackgerät Ladurner, einseitig</v>
      </c>
      <c r="CW41" s="351">
        <f>'Standard Vorgaben'!$B$146</f>
        <v>3</v>
      </c>
      <c r="CX41" s="46">
        <f>'Standard Vorgaben'!$C$163</f>
        <v>2</v>
      </c>
      <c r="CY41" s="61">
        <f>'Standard Vorgaben'!$D$163</f>
        <v>130</v>
      </c>
      <c r="CZ41" s="43">
        <f>CW41*CY41</f>
        <v>390</v>
      </c>
      <c r="DA41" s="42">
        <f>CZ41/$CZ$73</f>
        <v>7.103702448145603E-3</v>
      </c>
      <c r="DB41" s="17"/>
      <c r="DC41" s="20" t="str">
        <f>'Standard Vorgaben'!$B$163</f>
        <v>Hackgerät Ladurner, einseitig</v>
      </c>
      <c r="DD41" s="351">
        <f>'Standard Vorgaben'!$B$146</f>
        <v>3</v>
      </c>
      <c r="DE41" s="46">
        <f>'Standard Vorgaben'!$C$163</f>
        <v>2</v>
      </c>
      <c r="DF41" s="61">
        <f>'Standard Vorgaben'!$D$163</f>
        <v>130</v>
      </c>
      <c r="DG41" s="43">
        <f>DD41*DF41</f>
        <v>390</v>
      </c>
      <c r="DH41" s="42">
        <f>DG41/$DG$73</f>
        <v>6.5842810146045528E-3</v>
      </c>
    </row>
    <row r="42" spans="1:112" x14ac:dyDescent="0.2">
      <c r="B42" s="20" t="str">
        <f>'Standard Vorgaben'!$B$164</f>
        <v>Fadengerät gegen Unkraut, einseitig</v>
      </c>
      <c r="C42" s="351">
        <f>'Standard Vorgaben'!$B$123</f>
        <v>6</v>
      </c>
      <c r="D42" s="46">
        <f>'Standard Vorgaben'!$C$164</f>
        <v>1</v>
      </c>
      <c r="E42" s="61">
        <f>'Standard Vorgaben'!$D$164</f>
        <v>38</v>
      </c>
      <c r="F42" s="43">
        <f>C42*E42</f>
        <v>228</v>
      </c>
      <c r="G42" s="42">
        <f t="shared" si="17"/>
        <v>1.8890520205214006E-2</v>
      </c>
      <c r="H42" s="17"/>
      <c r="I42" s="20" t="str">
        <f>'Standard Vorgaben'!$B$164</f>
        <v>Fadengerät gegen Unkraut, einseitig</v>
      </c>
      <c r="J42" s="351">
        <f>'Standard Vorgaben'!$B$123</f>
        <v>6</v>
      </c>
      <c r="K42" s="46">
        <f>'Standard Vorgaben'!$C$164</f>
        <v>1</v>
      </c>
      <c r="L42" s="61">
        <f>'Standard Vorgaben'!$D$164</f>
        <v>38</v>
      </c>
      <c r="M42" s="43">
        <f>J42*L42</f>
        <v>228</v>
      </c>
      <c r="N42" s="42">
        <f>M42/$M$73</f>
        <v>1.8686423476219332E-2</v>
      </c>
      <c r="O42" s="3"/>
      <c r="P42" s="20" t="str">
        <f>'Standard Vorgaben'!$B$164</f>
        <v>Fadengerät gegen Unkraut, einseitig</v>
      </c>
      <c r="Q42" s="351">
        <f>'Standard Vorgaben'!$B$137</f>
        <v>6</v>
      </c>
      <c r="R42" s="46">
        <f>'Standard Vorgaben'!$C$164</f>
        <v>1</v>
      </c>
      <c r="S42" s="61">
        <f>'Standard Vorgaben'!$D$164</f>
        <v>38</v>
      </c>
      <c r="T42" s="43">
        <f>Q42*S42</f>
        <v>228</v>
      </c>
      <c r="U42" s="42">
        <f>T42/$T$73</f>
        <v>2.6618121620092263E-3</v>
      </c>
      <c r="V42" s="17"/>
      <c r="W42" s="20" t="str">
        <f>'Standard Vorgaben'!$B$164</f>
        <v>Fadengerät gegen Unkraut, einseitig</v>
      </c>
      <c r="X42" s="351">
        <f>'Standard Vorgaben'!$B$137</f>
        <v>6</v>
      </c>
      <c r="Y42" s="46">
        <f>'Standard Vorgaben'!$C$164</f>
        <v>1</v>
      </c>
      <c r="Z42" s="61">
        <f>'Standard Vorgaben'!$D$164</f>
        <v>38</v>
      </c>
      <c r="AA42" s="43">
        <f>X42*Z42</f>
        <v>228</v>
      </c>
      <c r="AB42" s="42">
        <f>AA42/$AA$73</f>
        <v>6.7802937067646526E-3</v>
      </c>
      <c r="AC42" s="17"/>
      <c r="AD42" s="20" t="str">
        <f>'Standard Vorgaben'!$B$164</f>
        <v>Fadengerät gegen Unkraut, einseitig</v>
      </c>
      <c r="AE42" s="351">
        <f>'Standard Vorgaben'!$B$147</f>
        <v>4</v>
      </c>
      <c r="AF42" s="46">
        <f>'Standard Vorgaben'!$C$164</f>
        <v>1</v>
      </c>
      <c r="AG42" s="61">
        <f>'Standard Vorgaben'!$D$164</f>
        <v>38</v>
      </c>
      <c r="AH42" s="43">
        <f>AE42*AG42</f>
        <v>152</v>
      </c>
      <c r="AI42" s="42">
        <f>AH42/$AH$73</f>
        <v>2.7665411421812316E-3</v>
      </c>
      <c r="AJ42" s="17"/>
      <c r="AK42" s="20" t="str">
        <f>'Standard Vorgaben'!$B$164</f>
        <v>Fadengerät gegen Unkraut, einseitig</v>
      </c>
      <c r="AL42" s="351">
        <f>'Standard Vorgaben'!$B$147</f>
        <v>4</v>
      </c>
      <c r="AM42" s="46">
        <f>'Standard Vorgaben'!$C$164</f>
        <v>1</v>
      </c>
      <c r="AN42" s="61">
        <f>'Standard Vorgaben'!$D$164</f>
        <v>38</v>
      </c>
      <c r="AO42" s="43">
        <f>AL42*AN42</f>
        <v>152</v>
      </c>
      <c r="AP42" s="42">
        <f>AO42/$AO$73</f>
        <v>2.7035290975427604E-3</v>
      </c>
      <c r="AQ42" s="17"/>
      <c r="AR42" s="20" t="str">
        <f>'Standard Vorgaben'!$B$164</f>
        <v>Fadengerät gegen Unkraut, einseitig</v>
      </c>
      <c r="AS42" s="351">
        <f>'Standard Vorgaben'!$B$147</f>
        <v>4</v>
      </c>
      <c r="AT42" s="46">
        <f>'Standard Vorgaben'!$C$164</f>
        <v>1</v>
      </c>
      <c r="AU42" s="61">
        <f>'Standard Vorgaben'!$D$164</f>
        <v>38</v>
      </c>
      <c r="AV42" s="43">
        <f>AS42*AU42</f>
        <v>152</v>
      </c>
      <c r="AW42" s="42">
        <f>AV42/$AV$73</f>
        <v>2.785630826962043E-3</v>
      </c>
      <c r="AX42" s="17"/>
      <c r="AY42" s="20" t="str">
        <f>'Standard Vorgaben'!$B$164</f>
        <v>Fadengerät gegen Unkraut, einseitig</v>
      </c>
      <c r="AZ42" s="351">
        <f>'Standard Vorgaben'!$B$147</f>
        <v>4</v>
      </c>
      <c r="BA42" s="46">
        <f>'Standard Vorgaben'!$C$164</f>
        <v>1</v>
      </c>
      <c r="BB42" s="61">
        <f>'Standard Vorgaben'!$D$164</f>
        <v>38</v>
      </c>
      <c r="BC42" s="43">
        <f>AZ42*BB42</f>
        <v>152</v>
      </c>
      <c r="BD42" s="42">
        <f>BC42/$BC$73</f>
        <v>2.7957452968166568E-3</v>
      </c>
      <c r="BE42" s="17"/>
      <c r="BF42" s="20" t="str">
        <f>'Standard Vorgaben'!$B$164</f>
        <v>Fadengerät gegen Unkraut, einseitig</v>
      </c>
      <c r="BG42" s="351">
        <f>'Standard Vorgaben'!$B$147</f>
        <v>4</v>
      </c>
      <c r="BH42" s="46">
        <f>'Standard Vorgaben'!$C$164</f>
        <v>1</v>
      </c>
      <c r="BI42" s="61">
        <f>'Standard Vorgaben'!$D$164</f>
        <v>38</v>
      </c>
      <c r="BJ42" s="43">
        <f>BG42*BI42</f>
        <v>152</v>
      </c>
      <c r="BK42" s="42">
        <f>BJ42/$BJ$73</f>
        <v>1.5152612666355608E-3</v>
      </c>
      <c r="BL42" s="17"/>
      <c r="BM42" s="20" t="str">
        <f>'Standard Vorgaben'!$B$164</f>
        <v>Fadengerät gegen Unkraut, einseitig</v>
      </c>
      <c r="BN42" s="351">
        <f>'Standard Vorgaben'!$B$147</f>
        <v>4</v>
      </c>
      <c r="BO42" s="46">
        <f>'Standard Vorgaben'!$C$164</f>
        <v>1</v>
      </c>
      <c r="BP42" s="61">
        <f>'Standard Vorgaben'!$D$164</f>
        <v>38</v>
      </c>
      <c r="BQ42" s="43">
        <f>BN42*BP42</f>
        <v>152</v>
      </c>
      <c r="BR42" s="42">
        <f>BQ42/$BQ$73</f>
        <v>2.5778760877858751E-3</v>
      </c>
      <c r="BS42" s="17"/>
      <c r="BT42" s="20" t="str">
        <f>'Standard Vorgaben'!$B$164</f>
        <v>Fadengerät gegen Unkraut, einseitig</v>
      </c>
      <c r="BU42" s="351">
        <f>'Standard Vorgaben'!$B$147</f>
        <v>4</v>
      </c>
      <c r="BV42" s="46">
        <f>'Standard Vorgaben'!$C$164</f>
        <v>1</v>
      </c>
      <c r="BW42" s="61">
        <f>'Standard Vorgaben'!$D$164</f>
        <v>38</v>
      </c>
      <c r="BX42" s="43">
        <f>BU42*BW42</f>
        <v>152</v>
      </c>
      <c r="BY42" s="42">
        <f>BX42/$BX$73</f>
        <v>2.8031026242888073E-3</v>
      </c>
      <c r="BZ42" s="17"/>
      <c r="CA42" s="20" t="str">
        <f>'Standard Vorgaben'!$B$164</f>
        <v>Fadengerät gegen Unkraut, einseitig</v>
      </c>
      <c r="CB42" s="351">
        <f>'Standard Vorgaben'!$B$147</f>
        <v>4</v>
      </c>
      <c r="CC42" s="46">
        <f>'Standard Vorgaben'!$C$164</f>
        <v>1</v>
      </c>
      <c r="CD42" s="61">
        <f>'Standard Vorgaben'!$D$164</f>
        <v>38</v>
      </c>
      <c r="CE42" s="43">
        <f>CB42*CD42</f>
        <v>152</v>
      </c>
      <c r="CF42" s="42">
        <f>CE42/$CE$73</f>
        <v>2.7387517899569057E-3</v>
      </c>
      <c r="CG42" s="17"/>
      <c r="CH42" s="20" t="str">
        <f>'Standard Vorgaben'!$B$164</f>
        <v>Fadengerät gegen Unkraut, einseitig</v>
      </c>
      <c r="CI42" s="351">
        <f>'Standard Vorgaben'!$B$147</f>
        <v>4</v>
      </c>
      <c r="CJ42" s="46">
        <f>'Standard Vorgaben'!$C$164</f>
        <v>1</v>
      </c>
      <c r="CK42" s="61">
        <f>'Standard Vorgaben'!$D$164</f>
        <v>38</v>
      </c>
      <c r="CL42" s="43">
        <f>CI42*CK42</f>
        <v>152</v>
      </c>
      <c r="CM42" s="42">
        <f>CL42/$CL$73</f>
        <v>2.8233813607695677E-3</v>
      </c>
      <c r="CN42" s="17"/>
      <c r="CO42" s="20" t="str">
        <f>'Standard Vorgaben'!$B$164</f>
        <v>Fadengerät gegen Unkraut, einseitig</v>
      </c>
      <c r="CP42" s="351">
        <f>'Standard Vorgaben'!$B$147</f>
        <v>4</v>
      </c>
      <c r="CQ42" s="46">
        <f>'Standard Vorgaben'!$C$164</f>
        <v>1</v>
      </c>
      <c r="CR42" s="61">
        <f>'Standard Vorgaben'!$D$164</f>
        <v>38</v>
      </c>
      <c r="CS42" s="43">
        <f>CP42*CR42</f>
        <v>152</v>
      </c>
      <c r="CT42" s="42">
        <f>CS42/$CS$73</f>
        <v>2.8341192806053297E-3</v>
      </c>
      <c r="CU42" s="17"/>
      <c r="CV42" s="20" t="str">
        <f>'Standard Vorgaben'!$B$164</f>
        <v>Fadengerät gegen Unkraut, einseitig</v>
      </c>
      <c r="CW42" s="351">
        <f>'Standard Vorgaben'!$B$147</f>
        <v>4</v>
      </c>
      <c r="CX42" s="46">
        <f>'Standard Vorgaben'!$C$164</f>
        <v>1</v>
      </c>
      <c r="CY42" s="61">
        <f>'Standard Vorgaben'!$D$164</f>
        <v>38</v>
      </c>
      <c r="CZ42" s="43">
        <f>CW42*CY42</f>
        <v>152</v>
      </c>
      <c r="DA42" s="42">
        <f>CZ42/$CZ$73</f>
        <v>2.7686224926105943E-3</v>
      </c>
      <c r="DB42" s="17"/>
      <c r="DC42" s="20" t="str">
        <f>'Standard Vorgaben'!$B$164</f>
        <v>Fadengerät gegen Unkraut, einseitig</v>
      </c>
      <c r="DD42" s="351">
        <f>'Standard Vorgaben'!$B$147</f>
        <v>4</v>
      </c>
      <c r="DE42" s="46">
        <f>'Standard Vorgaben'!$C$164</f>
        <v>1</v>
      </c>
      <c r="DF42" s="61">
        <f>'Standard Vorgaben'!$D$164</f>
        <v>38</v>
      </c>
      <c r="DG42" s="43">
        <f>DD42*DF42</f>
        <v>152</v>
      </c>
      <c r="DH42" s="42">
        <f>DG42/$DG$73</f>
        <v>2.5661813185125439E-3</v>
      </c>
    </row>
    <row r="43" spans="1:112" x14ac:dyDescent="0.2">
      <c r="A43" s="84"/>
      <c r="B43" s="20" t="str">
        <f>'Standard Vorgaben'!$B$165</f>
        <v>Pneuwagen 2achsig, 3t (Ernte)</v>
      </c>
      <c r="C43" s="401">
        <f>'Standard Vorgaben'!$C$165</f>
        <v>0.1</v>
      </c>
      <c r="D43" s="46">
        <f>C43*C44</f>
        <v>0</v>
      </c>
      <c r="E43" s="61">
        <f>'Standard Vorgaben'!$D$165</f>
        <v>25</v>
      </c>
      <c r="F43" s="43">
        <f>D43*E43</f>
        <v>0</v>
      </c>
      <c r="G43" s="42">
        <f t="shared" si="17"/>
        <v>0</v>
      </c>
      <c r="H43" s="84"/>
      <c r="I43" s="4" t="str">
        <f>'Standard Vorgaben'!$B$165</f>
        <v>Pneuwagen 2achsig, 3t (Ernte)</v>
      </c>
      <c r="J43" s="401">
        <f>'Standard Vorgaben'!$C$165</f>
        <v>0.1</v>
      </c>
      <c r="K43" s="46">
        <f>J43*J44</f>
        <v>0</v>
      </c>
      <c r="L43" s="61">
        <f>'Standard Vorgaben'!$D$165</f>
        <v>25</v>
      </c>
      <c r="M43" s="43">
        <f>K43*L43</f>
        <v>0</v>
      </c>
      <c r="N43" s="42">
        <f t="shared" ref="N43:N49" si="18">M43/$M$73</f>
        <v>0</v>
      </c>
      <c r="O43" s="97"/>
      <c r="P43" s="4" t="str">
        <f>'Standard Vorgaben'!$B$165</f>
        <v>Pneuwagen 2achsig, 3t (Ernte)</v>
      </c>
      <c r="Q43" s="401">
        <f>'Standard Vorgaben'!$C$165</f>
        <v>0.1</v>
      </c>
      <c r="R43" s="46">
        <f>Q43*Q44</f>
        <v>9.125</v>
      </c>
      <c r="S43" s="61">
        <f>'Standard Vorgaben'!$D$165</f>
        <v>25</v>
      </c>
      <c r="T43" s="43">
        <f>R43*S43</f>
        <v>228.125</v>
      </c>
      <c r="U43" s="42">
        <f t="shared" ref="U43:U51" si="19">T43/$T$73</f>
        <v>2.6632714888524334E-3</v>
      </c>
      <c r="V43" s="84"/>
      <c r="W43" s="4" t="str">
        <f>'Standard Vorgaben'!$B$165</f>
        <v>Pneuwagen 2achsig, 3t (Ernte)</v>
      </c>
      <c r="X43" s="401">
        <f>'Standard Vorgaben'!$C$165</f>
        <v>0.1</v>
      </c>
      <c r="Y43" s="46">
        <f>X43*X44</f>
        <v>30.416666666666671</v>
      </c>
      <c r="Z43" s="61">
        <f>'Standard Vorgaben'!$D$165</f>
        <v>25</v>
      </c>
      <c r="AA43" s="43">
        <f>Y43*Z43</f>
        <v>760.41666666666674</v>
      </c>
      <c r="AB43" s="42">
        <f t="shared" ref="AB43:AB49" si="20">AA43/$AA$73</f>
        <v>2.2613369910170857E-2</v>
      </c>
      <c r="AC43" s="84"/>
      <c r="AD43" s="4" t="str">
        <f>'Standard Vorgaben'!$B$165</f>
        <v>Pneuwagen 2achsig, 3t (Ernte)</v>
      </c>
      <c r="AE43" s="401">
        <f>'Standard Vorgaben'!$C$165</f>
        <v>0.1</v>
      </c>
      <c r="AF43" s="46">
        <f>AE43*AE44</f>
        <v>83.333333333333343</v>
      </c>
      <c r="AG43" s="61">
        <f>'Standard Vorgaben'!$D$165</f>
        <v>25</v>
      </c>
      <c r="AH43" s="43">
        <f>AF43*AG43</f>
        <v>2083.3333333333335</v>
      </c>
      <c r="AI43" s="42">
        <f t="shared" ref="AI43:AI49" si="21">AH43/$AH$73</f>
        <v>3.7918601181212062E-2</v>
      </c>
      <c r="AJ43" s="84"/>
      <c r="AK43" s="20" t="str">
        <f>'Standard Vorgaben'!$B$165</f>
        <v>Pneuwagen 2achsig, 3t (Ernte)</v>
      </c>
      <c r="AL43" s="401">
        <f>'Standard Vorgaben'!$C$165</f>
        <v>0.1</v>
      </c>
      <c r="AM43" s="46">
        <f>AL43*AL44</f>
        <v>83.333333333333343</v>
      </c>
      <c r="AN43" s="61">
        <f>'Standard Vorgaben'!$D$165</f>
        <v>25</v>
      </c>
      <c r="AO43" s="43">
        <f>AM43*AN43</f>
        <v>2083.3333333333335</v>
      </c>
      <c r="AP43" s="42">
        <f t="shared" ref="AP43:AP49" si="22">AO43/$AO$73</f>
        <v>3.7054949253601435E-2</v>
      </c>
      <c r="AQ43" s="84"/>
      <c r="AR43" s="4" t="str">
        <f>'Standard Vorgaben'!$B$165</f>
        <v>Pneuwagen 2achsig, 3t (Ernte)</v>
      </c>
      <c r="AS43" s="401">
        <f>'Standard Vorgaben'!$C$165</f>
        <v>0.1</v>
      </c>
      <c r="AT43" s="46">
        <f>AS43*AS44</f>
        <v>83.333333333333343</v>
      </c>
      <c r="AU43" s="61">
        <f>'Standard Vorgaben'!$D$165</f>
        <v>25</v>
      </c>
      <c r="AV43" s="43">
        <f>AT43*AU43</f>
        <v>2083.3333333333335</v>
      </c>
      <c r="AW43" s="42">
        <f t="shared" ref="AW43:AW49" si="23">AV43/$AV$73</f>
        <v>3.8180247080071859E-2</v>
      </c>
      <c r="AX43" s="84"/>
      <c r="AY43" s="20" t="str">
        <f>'Standard Vorgaben'!$B$165</f>
        <v>Pneuwagen 2achsig, 3t (Ernte)</v>
      </c>
      <c r="AZ43" s="401">
        <f>'Standard Vorgaben'!$C$165</f>
        <v>0.1</v>
      </c>
      <c r="BA43" s="46">
        <f>AZ43*AZ44</f>
        <v>83.333333333333343</v>
      </c>
      <c r="BB43" s="61">
        <f>'Standard Vorgaben'!$D$165</f>
        <v>25</v>
      </c>
      <c r="BC43" s="43">
        <f>BA43*BB43</f>
        <v>2083.3333333333335</v>
      </c>
      <c r="BD43" s="42">
        <f t="shared" ref="BD43:BD49" si="24">BC43/$BC$73</f>
        <v>3.8318877423473917E-2</v>
      </c>
      <c r="BE43" s="84"/>
      <c r="BF43" s="20" t="str">
        <f>'Standard Vorgaben'!$B$165</f>
        <v>Pneuwagen 2achsig, 3t (Ernte)</v>
      </c>
      <c r="BG43" s="401">
        <f>'Standard Vorgaben'!$C$165</f>
        <v>0.1</v>
      </c>
      <c r="BH43" s="46">
        <f>BG43*BG44</f>
        <v>83.333333333333343</v>
      </c>
      <c r="BI43" s="61">
        <f>'Standard Vorgaben'!$D$165</f>
        <v>25</v>
      </c>
      <c r="BJ43" s="43">
        <f>BH43*BI43</f>
        <v>2083.3333333333335</v>
      </c>
      <c r="BK43" s="42">
        <f t="shared" ref="BK43:BK50" si="25">BJ43/$BJ$73</f>
        <v>2.0768383588754949E-2</v>
      </c>
      <c r="BL43" s="84"/>
      <c r="BM43" s="20" t="str">
        <f>'Standard Vorgaben'!$B$165</f>
        <v>Pneuwagen 2achsig, 3t (Ernte)</v>
      </c>
      <c r="BN43" s="401">
        <f>'Standard Vorgaben'!$C$165</f>
        <v>0.1</v>
      </c>
      <c r="BO43" s="46">
        <f>BN43*BN44</f>
        <v>83.333333333333343</v>
      </c>
      <c r="BP43" s="61">
        <f>'Standard Vorgaben'!$D$165</f>
        <v>25</v>
      </c>
      <c r="BQ43" s="43">
        <f>BO43*BP43</f>
        <v>2083.3333333333335</v>
      </c>
      <c r="BR43" s="42">
        <f t="shared" ref="BR43:BR51" si="26">BQ43/$BQ$73</f>
        <v>3.5332731466363426E-2</v>
      </c>
      <c r="BS43" s="84"/>
      <c r="BT43" s="4" t="str">
        <f>'Standard Vorgaben'!$B$165</f>
        <v>Pneuwagen 2achsig, 3t (Ernte)</v>
      </c>
      <c r="BU43" s="401">
        <f>'Standard Vorgaben'!$C$165</f>
        <v>0.1</v>
      </c>
      <c r="BV43" s="46">
        <f>BU43*BU44</f>
        <v>83.333333333333343</v>
      </c>
      <c r="BW43" s="61">
        <f>'Standard Vorgaben'!$D$165</f>
        <v>25</v>
      </c>
      <c r="BX43" s="43">
        <f>BV43*BW43</f>
        <v>2083.3333333333335</v>
      </c>
      <c r="BY43" s="42">
        <f t="shared" ref="BY43:BY49" si="27">BX43/$BX$73</f>
        <v>3.8419717986414581E-2</v>
      </c>
      <c r="BZ43" s="84"/>
      <c r="CA43" s="20" t="str">
        <f>'Standard Vorgaben'!$B$165</f>
        <v>Pneuwagen 2achsig, 3t (Ernte)</v>
      </c>
      <c r="CB43" s="401">
        <f>'Standard Vorgaben'!$C$165</f>
        <v>0.1</v>
      </c>
      <c r="CC43" s="46">
        <f>CB43*CB44</f>
        <v>83.333333333333343</v>
      </c>
      <c r="CD43" s="61">
        <f>'Standard Vorgaben'!$D$165</f>
        <v>25</v>
      </c>
      <c r="CE43" s="43">
        <f>CC43*CD43</f>
        <v>2083.3333333333335</v>
      </c>
      <c r="CF43" s="42">
        <f t="shared" ref="CF43:CF49" si="28">CE43/$CE$73</f>
        <v>3.7537716419365486E-2</v>
      </c>
      <c r="CG43" s="84"/>
      <c r="CH43" s="4" t="str">
        <f>'Standard Vorgaben'!$B$165</f>
        <v>Pneuwagen 2achsig, 3t (Ernte)</v>
      </c>
      <c r="CI43" s="401">
        <f>'Standard Vorgaben'!$C$165</f>
        <v>0.1</v>
      </c>
      <c r="CJ43" s="46">
        <f>CI43*CI44</f>
        <v>83.333333333333343</v>
      </c>
      <c r="CK43" s="61">
        <f>'Standard Vorgaben'!$D$165</f>
        <v>25</v>
      </c>
      <c r="CL43" s="43">
        <f>CJ43*CK43</f>
        <v>2083.3333333333335</v>
      </c>
      <c r="CM43" s="42">
        <f t="shared" ref="CM43:CM49" si="29">CL43/$CL$73</f>
        <v>3.8697661194758336E-2</v>
      </c>
      <c r="CN43" s="84"/>
      <c r="CO43" s="20" t="str">
        <f>'Standard Vorgaben'!$B$165</f>
        <v>Pneuwagen 2achsig, 3t (Ernte)</v>
      </c>
      <c r="CP43" s="401">
        <f>'Standard Vorgaben'!$C$165</f>
        <v>0.1</v>
      </c>
      <c r="CQ43" s="46">
        <f>CP43*CP44</f>
        <v>83.333333333333343</v>
      </c>
      <c r="CR43" s="61">
        <f>'Standard Vorgaben'!$D$165</f>
        <v>25</v>
      </c>
      <c r="CS43" s="43">
        <f>CQ43*CR43</f>
        <v>2083.3333333333335</v>
      </c>
      <c r="CT43" s="42">
        <f t="shared" ref="CT43:CT49" si="30">CS43/$CS$73</f>
        <v>3.884483663110376E-2</v>
      </c>
      <c r="CU43" s="84"/>
      <c r="CV43" s="20" t="str">
        <f>'Standard Vorgaben'!$B$165</f>
        <v>Pneuwagen 2achsig, 3t (Ernte)</v>
      </c>
      <c r="CW43" s="401">
        <f>'Standard Vorgaben'!$C$165</f>
        <v>0.1</v>
      </c>
      <c r="CX43" s="46">
        <f>CW43*CW44</f>
        <v>83.333333333333343</v>
      </c>
      <c r="CY43" s="61">
        <f>'Standard Vorgaben'!$D$165</f>
        <v>25</v>
      </c>
      <c r="CZ43" s="43">
        <f>CX43*CY43</f>
        <v>2083.3333333333335</v>
      </c>
      <c r="DA43" s="42">
        <f t="shared" ref="DA43:DA49" si="31">CZ43/$CZ$73</f>
        <v>3.7947128462316258E-2</v>
      </c>
      <c r="DB43" s="84"/>
      <c r="DC43" s="20" t="str">
        <f>'Standard Vorgaben'!$B$165</f>
        <v>Pneuwagen 2achsig, 3t (Ernte)</v>
      </c>
      <c r="DD43" s="401">
        <f>'Standard Vorgaben'!$C$165</f>
        <v>0.1</v>
      </c>
      <c r="DE43" s="46">
        <f>DD43*DD44</f>
        <v>83.333333333333343</v>
      </c>
      <c r="DF43" s="61">
        <f>'Standard Vorgaben'!$D$165</f>
        <v>25</v>
      </c>
      <c r="DG43" s="43">
        <f>DE43*DF43</f>
        <v>2083.3333333333335</v>
      </c>
      <c r="DH43" s="42">
        <f t="shared" ref="DH43:DH49" si="32">DG43/$DG$73</f>
        <v>3.5172441317332014E-2</v>
      </c>
    </row>
    <row r="44" spans="1:112" x14ac:dyDescent="0.2">
      <c r="B44" s="228" t="s">
        <v>182</v>
      </c>
      <c r="C44" s="400">
        <f>D67</f>
        <v>0</v>
      </c>
      <c r="D44"/>
      <c r="E44" s="227"/>
      <c r="F44" s="43"/>
      <c r="G44" s="42">
        <f t="shared" si="17"/>
        <v>0</v>
      </c>
      <c r="H44" s="17"/>
      <c r="I44" s="228" t="s">
        <v>182</v>
      </c>
      <c r="J44" s="400">
        <f>K67</f>
        <v>0</v>
      </c>
      <c r="K44" s="1"/>
      <c r="L44" s="227"/>
      <c r="M44" s="43"/>
      <c r="N44" s="42">
        <f t="shared" si="18"/>
        <v>0</v>
      </c>
      <c r="O44" s="3"/>
      <c r="P44" s="228" t="s">
        <v>182</v>
      </c>
      <c r="Q44" s="400">
        <f>R67</f>
        <v>91.25</v>
      </c>
      <c r="R44" s="1"/>
      <c r="S44" s="227"/>
      <c r="T44" s="43"/>
      <c r="U44" s="42">
        <f t="shared" si="19"/>
        <v>0</v>
      </c>
      <c r="V44" s="17"/>
      <c r="W44" s="228" t="s">
        <v>182</v>
      </c>
      <c r="X44" s="400">
        <f>Y67</f>
        <v>304.16666666666669</v>
      </c>
      <c r="Y44" s="1"/>
      <c r="Z44" s="227"/>
      <c r="AA44" s="43"/>
      <c r="AB44" s="42">
        <f t="shared" si="20"/>
        <v>0</v>
      </c>
      <c r="AC44" s="17"/>
      <c r="AD44" s="228" t="s">
        <v>182</v>
      </c>
      <c r="AE44" s="400">
        <f>AF67</f>
        <v>833.33333333333337</v>
      </c>
      <c r="AF44" s="1"/>
      <c r="AG44" s="227"/>
      <c r="AH44" s="43"/>
      <c r="AI44" s="42">
        <f t="shared" si="21"/>
        <v>0</v>
      </c>
      <c r="AJ44" s="17"/>
      <c r="AK44" s="228" t="s">
        <v>182</v>
      </c>
      <c r="AL44" s="400">
        <f>AM67</f>
        <v>833.33333333333337</v>
      </c>
      <c r="AM44" s="1"/>
      <c r="AN44" s="227"/>
      <c r="AO44" s="43"/>
      <c r="AP44" s="42">
        <f t="shared" si="22"/>
        <v>0</v>
      </c>
      <c r="AQ44" s="17"/>
      <c r="AR44" s="228" t="s">
        <v>182</v>
      </c>
      <c r="AS44" s="400">
        <f>AT67</f>
        <v>833.33333333333337</v>
      </c>
      <c r="AT44" s="1"/>
      <c r="AU44" s="227"/>
      <c r="AV44" s="43"/>
      <c r="AW44" s="42">
        <f t="shared" si="23"/>
        <v>0</v>
      </c>
      <c r="AX44" s="17"/>
      <c r="AY44" s="228" t="s">
        <v>182</v>
      </c>
      <c r="AZ44" s="400">
        <f>BA67</f>
        <v>833.33333333333337</v>
      </c>
      <c r="BA44" s="1"/>
      <c r="BB44" s="227"/>
      <c r="BC44" s="43"/>
      <c r="BD44" s="42">
        <f t="shared" si="24"/>
        <v>0</v>
      </c>
      <c r="BE44" s="17"/>
      <c r="BF44" s="228" t="s">
        <v>182</v>
      </c>
      <c r="BG44" s="400">
        <f>BH67</f>
        <v>833.33333333333337</v>
      </c>
      <c r="BH44" s="1"/>
      <c r="BI44" s="227"/>
      <c r="BJ44" s="43"/>
      <c r="BK44" s="42">
        <f t="shared" si="25"/>
        <v>0</v>
      </c>
      <c r="BL44" s="17"/>
      <c r="BM44" s="228" t="s">
        <v>182</v>
      </c>
      <c r="BN44" s="400">
        <f>BO67</f>
        <v>833.33333333333337</v>
      </c>
      <c r="BO44" s="1"/>
      <c r="BP44" s="227"/>
      <c r="BQ44" s="43"/>
      <c r="BR44" s="42">
        <f t="shared" si="26"/>
        <v>0</v>
      </c>
      <c r="BS44" s="17"/>
      <c r="BT44" s="228" t="s">
        <v>182</v>
      </c>
      <c r="BU44" s="400">
        <f>BV67</f>
        <v>833.33333333333337</v>
      </c>
      <c r="BV44" s="1"/>
      <c r="BW44" s="227"/>
      <c r="BX44" s="43"/>
      <c r="BY44" s="42">
        <f t="shared" si="27"/>
        <v>0</v>
      </c>
      <c r="BZ44" s="17"/>
      <c r="CA44" s="228" t="s">
        <v>182</v>
      </c>
      <c r="CB44" s="400">
        <f>CC67</f>
        <v>833.33333333333337</v>
      </c>
      <c r="CC44" s="1"/>
      <c r="CD44" s="227"/>
      <c r="CE44" s="43"/>
      <c r="CF44" s="42">
        <f t="shared" si="28"/>
        <v>0</v>
      </c>
      <c r="CG44" s="17"/>
      <c r="CH44" s="228" t="s">
        <v>182</v>
      </c>
      <c r="CI44" s="400">
        <f>CJ67</f>
        <v>833.33333333333337</v>
      </c>
      <c r="CJ44" s="1"/>
      <c r="CK44" s="227"/>
      <c r="CL44" s="43"/>
      <c r="CM44" s="42">
        <f t="shared" si="29"/>
        <v>0</v>
      </c>
      <c r="CN44" s="17"/>
      <c r="CO44" s="228" t="s">
        <v>182</v>
      </c>
      <c r="CP44" s="400">
        <f>CQ67</f>
        <v>833.33333333333337</v>
      </c>
      <c r="CQ44" s="1"/>
      <c r="CR44" s="227"/>
      <c r="CS44" s="43"/>
      <c r="CT44" s="42">
        <f t="shared" si="30"/>
        <v>0</v>
      </c>
      <c r="CU44" s="17"/>
      <c r="CV44" s="228" t="s">
        <v>182</v>
      </c>
      <c r="CW44" s="400">
        <f>CX67</f>
        <v>833.33333333333337</v>
      </c>
      <c r="CX44" s="1"/>
      <c r="CY44" s="227"/>
      <c r="CZ44" s="43"/>
      <c r="DA44" s="42">
        <f t="shared" si="31"/>
        <v>0</v>
      </c>
      <c r="DB44" s="17"/>
      <c r="DC44" s="228" t="s">
        <v>182</v>
      </c>
      <c r="DD44" s="400">
        <f>DE67</f>
        <v>833.33333333333337</v>
      </c>
      <c r="DE44" s="1"/>
      <c r="DF44" s="227"/>
      <c r="DG44" s="43"/>
      <c r="DH44" s="42">
        <f t="shared" si="32"/>
        <v>0</v>
      </c>
    </row>
    <row r="45" spans="1:112" x14ac:dyDescent="0.2">
      <c r="B45" s="20" t="str">
        <f>'Standard Vorgaben'!$B$166</f>
        <v>Mulchgerät mit beids. Schwenkarm, 2.8m</v>
      </c>
      <c r="C45" s="45">
        <f>'Standard Vorgaben'!$E$166</f>
        <v>6</v>
      </c>
      <c r="D45" s="50">
        <f>'Standard Vorgaben'!$C$166</f>
        <v>0.5</v>
      </c>
      <c r="E45" s="61">
        <f>'Standard Vorgaben'!$D$166</f>
        <v>42</v>
      </c>
      <c r="F45" s="43">
        <f>C45*E45</f>
        <v>252</v>
      </c>
      <c r="G45" s="42">
        <f t="shared" si="17"/>
        <v>2.0878996016289165E-2</v>
      </c>
      <c r="H45" s="17"/>
      <c r="I45" s="4" t="str">
        <f>'Standard Vorgaben'!$B$166</f>
        <v>Mulchgerät mit beids. Schwenkarm, 2.8m</v>
      </c>
      <c r="J45" s="45">
        <f>'Standard Vorgaben'!$E$166</f>
        <v>6</v>
      </c>
      <c r="K45" s="50">
        <f>'Standard Vorgaben'!$C$166</f>
        <v>0.5</v>
      </c>
      <c r="L45" s="61">
        <f>'Standard Vorgaben'!$D$166</f>
        <v>42</v>
      </c>
      <c r="M45" s="43">
        <f>J45*L45</f>
        <v>252</v>
      </c>
      <c r="N45" s="42">
        <f t="shared" si="18"/>
        <v>2.0653415421084523E-2</v>
      </c>
      <c r="O45" s="3"/>
      <c r="P45" s="4" t="str">
        <f>'Standard Vorgaben'!$B$166</f>
        <v>Mulchgerät mit beids. Schwenkarm, 2.8m</v>
      </c>
      <c r="Q45" s="45">
        <f>'Standard Vorgaben'!$E$166</f>
        <v>6</v>
      </c>
      <c r="R45" s="50">
        <f>'Standard Vorgaben'!$C$166</f>
        <v>0.5</v>
      </c>
      <c r="S45" s="61">
        <f>'Standard Vorgaben'!$D$166</f>
        <v>42</v>
      </c>
      <c r="T45" s="43">
        <f>Q45*S45</f>
        <v>252</v>
      </c>
      <c r="U45" s="42">
        <f t="shared" si="19"/>
        <v>2.9420029159049343E-3</v>
      </c>
      <c r="V45" s="17"/>
      <c r="W45" s="4" t="str">
        <f>'Standard Vorgaben'!$B$166</f>
        <v>Mulchgerät mit beids. Schwenkarm, 2.8m</v>
      </c>
      <c r="X45" s="45">
        <f>'Standard Vorgaben'!$E$166</f>
        <v>6</v>
      </c>
      <c r="Y45" s="50">
        <f>'Standard Vorgaben'!$C$166</f>
        <v>0.5</v>
      </c>
      <c r="Z45" s="61">
        <f>'Standard Vorgaben'!$D$166</f>
        <v>42</v>
      </c>
      <c r="AA45" s="43">
        <f>X45*Z45</f>
        <v>252</v>
      </c>
      <c r="AB45" s="42">
        <f t="shared" si="20"/>
        <v>7.4940088337925115E-3</v>
      </c>
      <c r="AC45" s="17"/>
      <c r="AD45" s="4" t="str">
        <f>'Standard Vorgaben'!$B$166</f>
        <v>Mulchgerät mit beids. Schwenkarm, 2.8m</v>
      </c>
      <c r="AE45" s="45">
        <f>'Standard Vorgaben'!$E$166</f>
        <v>6</v>
      </c>
      <c r="AF45" s="50">
        <f>'Standard Vorgaben'!$C$166</f>
        <v>0.5</v>
      </c>
      <c r="AG45" s="61">
        <f>'Standard Vorgaben'!$D$166</f>
        <v>42</v>
      </c>
      <c r="AH45" s="43">
        <f>AE45*AG45</f>
        <v>252</v>
      </c>
      <c r="AI45" s="42">
        <f t="shared" si="21"/>
        <v>4.5866339988794103E-3</v>
      </c>
      <c r="AJ45" s="17"/>
      <c r="AK45" s="20" t="str">
        <f>'Standard Vorgaben'!$B$166</f>
        <v>Mulchgerät mit beids. Schwenkarm, 2.8m</v>
      </c>
      <c r="AL45" s="45">
        <f>'Standard Vorgaben'!$E$166</f>
        <v>6</v>
      </c>
      <c r="AM45" s="50">
        <f>'Standard Vorgaben'!$C$166</f>
        <v>0.5</v>
      </c>
      <c r="AN45" s="61">
        <f>'Standard Vorgaben'!$D$166</f>
        <v>42</v>
      </c>
      <c r="AO45" s="43">
        <f>AL45*AN45</f>
        <v>252</v>
      </c>
      <c r="AP45" s="42">
        <f t="shared" si="22"/>
        <v>4.4821666617156294E-3</v>
      </c>
      <c r="AQ45" s="17"/>
      <c r="AR45" s="4" t="str">
        <f>'Standard Vorgaben'!$B$166</f>
        <v>Mulchgerät mit beids. Schwenkarm, 2.8m</v>
      </c>
      <c r="AS45" s="45">
        <f>'Standard Vorgaben'!$E$166</f>
        <v>6</v>
      </c>
      <c r="AT45" s="50">
        <f>'Standard Vorgaben'!$C$166</f>
        <v>0.5</v>
      </c>
      <c r="AU45" s="61">
        <f>'Standard Vorgaben'!$D$166</f>
        <v>42</v>
      </c>
      <c r="AV45" s="43">
        <f>AS45*AU45</f>
        <v>252</v>
      </c>
      <c r="AW45" s="42">
        <f t="shared" si="23"/>
        <v>4.6182826868054923E-3</v>
      </c>
      <c r="AX45" s="17"/>
      <c r="AY45" s="20" t="str">
        <f>'Standard Vorgaben'!$B$166</f>
        <v>Mulchgerät mit beids. Schwenkarm, 2.8m</v>
      </c>
      <c r="AZ45" s="45">
        <f>'Standard Vorgaben'!$E$166</f>
        <v>6</v>
      </c>
      <c r="BA45" s="50">
        <f>'Standard Vorgaben'!$C$166</f>
        <v>0.5</v>
      </c>
      <c r="BB45" s="61">
        <f>'Standard Vorgaben'!$D$166</f>
        <v>42</v>
      </c>
      <c r="BC45" s="43">
        <f>AZ45*BB45</f>
        <v>252</v>
      </c>
      <c r="BD45" s="42">
        <f t="shared" si="24"/>
        <v>4.6350514131434043E-3</v>
      </c>
      <c r="BE45" s="17"/>
      <c r="BF45" s="20" t="str">
        <f>'Standard Vorgaben'!$B$166</f>
        <v>Mulchgerät mit beids. Schwenkarm, 2.8m</v>
      </c>
      <c r="BG45" s="45">
        <f>'Standard Vorgaben'!$E$166</f>
        <v>6</v>
      </c>
      <c r="BH45" s="50">
        <f>'Standard Vorgaben'!$C$166</f>
        <v>0.5</v>
      </c>
      <c r="BI45" s="61">
        <f>'Standard Vorgaben'!$D$166</f>
        <v>42</v>
      </c>
      <c r="BJ45" s="43">
        <f>BG45*BI45</f>
        <v>252</v>
      </c>
      <c r="BK45" s="42">
        <f t="shared" si="25"/>
        <v>2.5121436788957982E-3</v>
      </c>
      <c r="BL45" s="17"/>
      <c r="BM45" s="20" t="str">
        <f>'Standard Vorgaben'!$B$166</f>
        <v>Mulchgerät mit beids. Schwenkarm, 2.8m</v>
      </c>
      <c r="BN45" s="45">
        <f>'Standard Vorgaben'!$E$166</f>
        <v>6</v>
      </c>
      <c r="BO45" s="50">
        <f>'Standard Vorgaben'!$C$166</f>
        <v>0.5</v>
      </c>
      <c r="BP45" s="61">
        <f>'Standard Vorgaben'!$D$166</f>
        <v>42</v>
      </c>
      <c r="BQ45" s="43">
        <f>BN45*BP45</f>
        <v>252</v>
      </c>
      <c r="BR45" s="42">
        <f t="shared" si="26"/>
        <v>4.2738471981713195E-3</v>
      </c>
      <c r="BS45" s="17"/>
      <c r="BT45" s="4" t="str">
        <f>'Standard Vorgaben'!$B$166</f>
        <v>Mulchgerät mit beids. Schwenkarm, 2.8m</v>
      </c>
      <c r="BU45" s="45">
        <f>'Standard Vorgaben'!$E$166</f>
        <v>6</v>
      </c>
      <c r="BV45" s="50">
        <f>'Standard Vorgaben'!$C$166</f>
        <v>0.5</v>
      </c>
      <c r="BW45" s="61">
        <f>'Standard Vorgaben'!$D$166</f>
        <v>42</v>
      </c>
      <c r="BX45" s="43">
        <f>BU45*BW45</f>
        <v>252</v>
      </c>
      <c r="BY45" s="42">
        <f t="shared" si="27"/>
        <v>4.6472490876367069E-3</v>
      </c>
      <c r="BZ45" s="17"/>
      <c r="CA45" s="20" t="str">
        <f>'Standard Vorgaben'!$B$166</f>
        <v>Mulchgerät mit beids. Schwenkarm, 2.8m</v>
      </c>
      <c r="CB45" s="45">
        <f>'Standard Vorgaben'!$E$166</f>
        <v>6</v>
      </c>
      <c r="CC45" s="50">
        <f>'Standard Vorgaben'!$C$166</f>
        <v>0.5</v>
      </c>
      <c r="CD45" s="61">
        <f>'Standard Vorgaben'!$D$166</f>
        <v>42</v>
      </c>
      <c r="CE45" s="43">
        <f>CB45*CD45</f>
        <v>252</v>
      </c>
      <c r="CF45" s="42">
        <f t="shared" si="28"/>
        <v>4.540562178086449E-3</v>
      </c>
      <c r="CG45" s="17"/>
      <c r="CH45" s="4" t="str">
        <f>'Standard Vorgaben'!$B$166</f>
        <v>Mulchgerät mit beids. Schwenkarm, 2.8m</v>
      </c>
      <c r="CI45" s="45">
        <f>'Standard Vorgaben'!$E$166</f>
        <v>6</v>
      </c>
      <c r="CJ45" s="50">
        <f>'Standard Vorgaben'!$C$166</f>
        <v>0.5</v>
      </c>
      <c r="CK45" s="61">
        <f>'Standard Vorgaben'!$D$166</f>
        <v>42</v>
      </c>
      <c r="CL45" s="43">
        <f>CI45*CK45</f>
        <v>252</v>
      </c>
      <c r="CM45" s="42">
        <f t="shared" si="29"/>
        <v>4.6808690981179676E-3</v>
      </c>
      <c r="CN45" s="17"/>
      <c r="CO45" s="20" t="str">
        <f>'Standard Vorgaben'!$B$166</f>
        <v>Mulchgerät mit beids. Schwenkarm, 2.8m</v>
      </c>
      <c r="CP45" s="45">
        <f>'Standard Vorgaben'!$E$166</f>
        <v>6</v>
      </c>
      <c r="CQ45" s="50">
        <f>'Standard Vorgaben'!$C$166</f>
        <v>0.5</v>
      </c>
      <c r="CR45" s="61">
        <f>'Standard Vorgaben'!$D$166</f>
        <v>42</v>
      </c>
      <c r="CS45" s="43">
        <f>CP45*CR45</f>
        <v>252</v>
      </c>
      <c r="CT45" s="42">
        <f t="shared" si="30"/>
        <v>4.6986714388983098E-3</v>
      </c>
      <c r="CU45" s="17"/>
      <c r="CV45" s="20" t="str">
        <f>'Standard Vorgaben'!$B$166</f>
        <v>Mulchgerät mit beids. Schwenkarm, 2.8m</v>
      </c>
      <c r="CW45" s="45">
        <f>'Standard Vorgaben'!$E$166</f>
        <v>6</v>
      </c>
      <c r="CX45" s="50">
        <f>'Standard Vorgaben'!$C$166</f>
        <v>0.5</v>
      </c>
      <c r="CY45" s="61">
        <f>'Standard Vorgaben'!$D$166</f>
        <v>42</v>
      </c>
      <c r="CZ45" s="43">
        <f>CW45*CY45</f>
        <v>252</v>
      </c>
      <c r="DA45" s="42">
        <f t="shared" si="31"/>
        <v>4.5900846588017748E-3</v>
      </c>
      <c r="DB45" s="17"/>
      <c r="DC45" s="20" t="str">
        <f>'Standard Vorgaben'!$B$166</f>
        <v>Mulchgerät mit beids. Schwenkarm, 2.8m</v>
      </c>
      <c r="DD45" s="45">
        <f>'Standard Vorgaben'!$E$166</f>
        <v>6</v>
      </c>
      <c r="DE45" s="50">
        <f>'Standard Vorgaben'!$C$166</f>
        <v>0.5</v>
      </c>
      <c r="DF45" s="61">
        <f>'Standard Vorgaben'!$D$166</f>
        <v>42</v>
      </c>
      <c r="DG45" s="43">
        <f>DD45*DF45</f>
        <v>252</v>
      </c>
      <c r="DH45" s="42">
        <f t="shared" si="32"/>
        <v>4.2544585017444802E-3</v>
      </c>
    </row>
    <row r="46" spans="1:112" x14ac:dyDescent="0.2">
      <c r="C46" s="45"/>
      <c r="D46" s="50"/>
      <c r="E46" s="61"/>
      <c r="F46" s="43"/>
      <c r="G46" s="42">
        <f t="shared" si="17"/>
        <v>0</v>
      </c>
      <c r="H46" s="17"/>
      <c r="I46" s="4"/>
      <c r="J46" s="45"/>
      <c r="K46" s="50"/>
      <c r="L46" s="61"/>
      <c r="M46" s="43"/>
      <c r="N46" s="42">
        <f t="shared" si="18"/>
        <v>0</v>
      </c>
      <c r="O46" s="3"/>
      <c r="P46" s="1351" t="s">
        <v>467</v>
      </c>
      <c r="Q46" s="45"/>
      <c r="R46" s="50">
        <f>'Standard Vorgaben'!C168</f>
        <v>100</v>
      </c>
      <c r="S46" s="61">
        <f>'Standard Vorgaben'!$I$168</f>
        <v>17.5</v>
      </c>
      <c r="T46" s="43">
        <f>R46*S46</f>
        <v>1750</v>
      </c>
      <c r="U46" s="42">
        <f t="shared" si="19"/>
        <v>2.0430575804895379E-2</v>
      </c>
      <c r="V46" s="17"/>
      <c r="W46" s="4" t="str">
        <f>P46</f>
        <v>Hebebühne für Folienmontage und Schnitt</v>
      </c>
      <c r="X46" s="45"/>
      <c r="Y46" s="50">
        <f>$R$46</f>
        <v>100</v>
      </c>
      <c r="Z46" s="61">
        <f>'Standard Vorgaben'!$I$168</f>
        <v>17.5</v>
      </c>
      <c r="AA46" s="43">
        <f>Y46*Z46</f>
        <v>1750</v>
      </c>
      <c r="AB46" s="42">
        <f t="shared" si="20"/>
        <v>5.2041728012447996E-2</v>
      </c>
      <c r="AC46" s="17"/>
      <c r="AD46" s="4" t="str">
        <f>W46</f>
        <v>Hebebühne für Folienmontage und Schnitt</v>
      </c>
      <c r="AE46" s="45"/>
      <c r="AF46" s="50">
        <f>$R$46</f>
        <v>100</v>
      </c>
      <c r="AG46" s="61">
        <f>'Standard Vorgaben'!$I$168</f>
        <v>17.5</v>
      </c>
      <c r="AH46" s="43">
        <f>AF46*AG46</f>
        <v>1750</v>
      </c>
      <c r="AI46" s="42">
        <f t="shared" si="21"/>
        <v>3.1851624992218129E-2</v>
      </c>
      <c r="AJ46" s="17"/>
      <c r="AK46" s="4" t="str">
        <f>AD46</f>
        <v>Hebebühne für Folienmontage und Schnitt</v>
      </c>
      <c r="AL46" s="45"/>
      <c r="AM46" s="50">
        <f>$R$46</f>
        <v>100</v>
      </c>
      <c r="AN46" s="61">
        <f>'Standard Vorgaben'!$I$168</f>
        <v>17.5</v>
      </c>
      <c r="AO46" s="43">
        <f>AM46*AN46</f>
        <v>1750</v>
      </c>
      <c r="AP46" s="42">
        <f t="shared" si="22"/>
        <v>3.1126157373025203E-2</v>
      </c>
      <c r="AQ46" s="17"/>
      <c r="AR46" s="4" t="str">
        <f>AK46</f>
        <v>Hebebühne für Folienmontage und Schnitt</v>
      </c>
      <c r="AS46" s="45"/>
      <c r="AT46" s="50">
        <f>$R$46</f>
        <v>100</v>
      </c>
      <c r="AU46" s="61">
        <f>'Standard Vorgaben'!$I$168</f>
        <v>17.5</v>
      </c>
      <c r="AV46" s="43">
        <f>AT46*AU46</f>
        <v>1750</v>
      </c>
      <c r="AW46" s="42">
        <f t="shared" si="23"/>
        <v>3.2071407547260358E-2</v>
      </c>
      <c r="AX46" s="17"/>
      <c r="AY46" s="4" t="str">
        <f>AR46</f>
        <v>Hebebühne für Folienmontage und Schnitt</v>
      </c>
      <c r="AZ46" s="45"/>
      <c r="BA46" s="50">
        <f>$R$46</f>
        <v>100</v>
      </c>
      <c r="BB46" s="61">
        <f>'Standard Vorgaben'!$I$168</f>
        <v>17.5</v>
      </c>
      <c r="BC46" s="43">
        <f>BA46*BB46</f>
        <v>1750</v>
      </c>
      <c r="BD46" s="42">
        <f t="shared" si="24"/>
        <v>3.2187857035718088E-2</v>
      </c>
      <c r="BE46" s="17"/>
      <c r="BF46" s="4" t="str">
        <f>AY46</f>
        <v>Hebebühne für Folienmontage und Schnitt</v>
      </c>
      <c r="BG46" s="45"/>
      <c r="BH46" s="50">
        <f>$R$46</f>
        <v>100</v>
      </c>
      <c r="BI46" s="61">
        <f>'Standard Vorgaben'!$I$168</f>
        <v>17.5</v>
      </c>
      <c r="BJ46" s="43">
        <f>BH46*BI46</f>
        <v>1750</v>
      </c>
      <c r="BK46" s="42">
        <f t="shared" si="25"/>
        <v>1.7445442214554154E-2</v>
      </c>
      <c r="BL46" s="17"/>
      <c r="BM46" s="4" t="str">
        <f>BF46</f>
        <v>Hebebühne für Folienmontage und Schnitt</v>
      </c>
      <c r="BN46" s="45"/>
      <c r="BO46" s="50">
        <f>$R$46</f>
        <v>100</v>
      </c>
      <c r="BP46" s="61">
        <f>'Standard Vorgaben'!$I$168</f>
        <v>17.5</v>
      </c>
      <c r="BQ46" s="43">
        <f>BO46*BP46</f>
        <v>1750</v>
      </c>
      <c r="BR46" s="42">
        <f t="shared" si="26"/>
        <v>2.9679494431745276E-2</v>
      </c>
      <c r="BS46" s="17"/>
      <c r="BT46" s="4" t="str">
        <f>BM46</f>
        <v>Hebebühne für Folienmontage und Schnitt</v>
      </c>
      <c r="BU46" s="45"/>
      <c r="BV46" s="50">
        <f>$R$46</f>
        <v>100</v>
      </c>
      <c r="BW46" s="61">
        <f>'Standard Vorgaben'!$I$168</f>
        <v>17.5</v>
      </c>
      <c r="BX46" s="43">
        <f>BV46*BW46</f>
        <v>1750</v>
      </c>
      <c r="BY46" s="42">
        <f t="shared" si="27"/>
        <v>3.227256310858824E-2</v>
      </c>
      <c r="BZ46" s="17"/>
      <c r="CA46" s="4" t="str">
        <f>BT46</f>
        <v>Hebebühne für Folienmontage und Schnitt</v>
      </c>
      <c r="CB46" s="45"/>
      <c r="CC46" s="50">
        <f>$R$46</f>
        <v>100</v>
      </c>
      <c r="CD46" s="61">
        <f>'Standard Vorgaben'!$I$168</f>
        <v>17.5</v>
      </c>
      <c r="CE46" s="43">
        <f>CC46*CD46</f>
        <v>1750</v>
      </c>
      <c r="CF46" s="42">
        <f t="shared" si="28"/>
        <v>3.1531681792267008E-2</v>
      </c>
      <c r="CG46" s="17"/>
      <c r="CH46" s="4" t="str">
        <f>CA46</f>
        <v>Hebebühne für Folienmontage und Schnitt</v>
      </c>
      <c r="CI46" s="45"/>
      <c r="CJ46" s="50">
        <f>$R$46</f>
        <v>100</v>
      </c>
      <c r="CK46" s="61">
        <f>'Standard Vorgaben'!$I$168</f>
        <v>17.5</v>
      </c>
      <c r="CL46" s="43">
        <f>CJ46*CK46</f>
        <v>1750</v>
      </c>
      <c r="CM46" s="42">
        <f t="shared" si="29"/>
        <v>3.2506035403596999E-2</v>
      </c>
      <c r="CN46" s="17"/>
      <c r="CO46" s="4" t="str">
        <f>CH46</f>
        <v>Hebebühne für Folienmontage und Schnitt</v>
      </c>
      <c r="CP46" s="45"/>
      <c r="CQ46" s="50">
        <f>$R$46</f>
        <v>100</v>
      </c>
      <c r="CR46" s="61">
        <f>'Standard Vorgaben'!$I$168</f>
        <v>17.5</v>
      </c>
      <c r="CS46" s="43">
        <f>CQ46*CR46</f>
        <v>1750</v>
      </c>
      <c r="CT46" s="42">
        <f t="shared" si="30"/>
        <v>3.2629662770127153E-2</v>
      </c>
      <c r="CU46" s="17"/>
      <c r="CV46" s="4" t="str">
        <f>CO46</f>
        <v>Hebebühne für Folienmontage und Schnitt</v>
      </c>
      <c r="CW46" s="45"/>
      <c r="CX46" s="50">
        <f>$R$46</f>
        <v>100</v>
      </c>
      <c r="CY46" s="61">
        <f>'Standard Vorgaben'!$I$168</f>
        <v>17.5</v>
      </c>
      <c r="CZ46" s="43">
        <f>CX46*CY46</f>
        <v>1750</v>
      </c>
      <c r="DA46" s="42">
        <f t="shared" si="31"/>
        <v>3.1875587908345659E-2</v>
      </c>
      <c r="DB46" s="17"/>
      <c r="DC46" s="4" t="str">
        <f>CV46</f>
        <v>Hebebühne für Folienmontage und Schnitt</v>
      </c>
      <c r="DD46" s="45"/>
      <c r="DE46" s="50">
        <f>$R$46</f>
        <v>100</v>
      </c>
      <c r="DF46" s="61">
        <f>'Standard Vorgaben'!$I$168</f>
        <v>17.5</v>
      </c>
      <c r="DG46" s="43">
        <f>DE46*DF46</f>
        <v>1750</v>
      </c>
      <c r="DH46" s="42">
        <f t="shared" si="32"/>
        <v>2.9544850706558892E-2</v>
      </c>
    </row>
    <row r="47" spans="1:112" ht="13.5" thickBot="1" x14ac:dyDescent="0.25">
      <c r="B47" s="20" t="str">
        <f>'Standard Vorgaben'!$B$167</f>
        <v>Schnittholzhacker</v>
      </c>
      <c r="C47" s="57">
        <f>'Standard Vorgaben'!$E$167</f>
        <v>1</v>
      </c>
      <c r="D47" s="686">
        <f>'Standard Vorgaben'!$C$167</f>
        <v>3</v>
      </c>
      <c r="E47" s="61">
        <f>'Standard Vorgaben'!$D$167</f>
        <v>68.3</v>
      </c>
      <c r="F47" s="198">
        <f>C47*E47</f>
        <v>68.3</v>
      </c>
      <c r="G47" s="42">
        <f t="shared" si="17"/>
        <v>5.6588707456847213E-3</v>
      </c>
      <c r="H47" s="17"/>
      <c r="I47" s="4" t="str">
        <f>'Standard Vorgaben'!$B$167</f>
        <v>Schnittholzhacker</v>
      </c>
      <c r="J47" s="57">
        <f>'Standard Vorgaben'!$E$167</f>
        <v>1</v>
      </c>
      <c r="K47" s="686">
        <f>'Standard Vorgaben'!$C$167</f>
        <v>3</v>
      </c>
      <c r="L47" s="61">
        <f>'Standard Vorgaben'!$D$167</f>
        <v>68.3</v>
      </c>
      <c r="M47" s="198">
        <f>J47*L47</f>
        <v>68.3</v>
      </c>
      <c r="N47" s="42">
        <f t="shared" si="18"/>
        <v>5.5977312430955271E-3</v>
      </c>
      <c r="O47" s="3"/>
      <c r="P47" s="4" t="str">
        <f>'Standard Vorgaben'!$B$167</f>
        <v>Schnittholzhacker</v>
      </c>
      <c r="Q47" s="57">
        <f>'Standard Vorgaben'!$E$167</f>
        <v>1</v>
      </c>
      <c r="R47" s="686">
        <f>'Standard Vorgaben'!$C$167</f>
        <v>3</v>
      </c>
      <c r="S47" s="61">
        <f>'Standard Vorgaben'!$D$167</f>
        <v>68.3</v>
      </c>
      <c r="T47" s="198">
        <f>Q47*S47</f>
        <v>68.3</v>
      </c>
      <c r="U47" s="42">
        <f t="shared" si="19"/>
        <v>7.973761871282024E-4</v>
      </c>
      <c r="V47" s="17"/>
      <c r="W47" s="4" t="str">
        <f>'Standard Vorgaben'!$B$167</f>
        <v>Schnittholzhacker</v>
      </c>
      <c r="X47" s="57">
        <f>'Standard Vorgaben'!$E$167</f>
        <v>1</v>
      </c>
      <c r="Y47" s="686">
        <f>'Standard Vorgaben'!$C$167</f>
        <v>3</v>
      </c>
      <c r="Z47" s="61">
        <f>'Standard Vorgaben'!$D$167</f>
        <v>68.3</v>
      </c>
      <c r="AA47" s="198">
        <f>X47*Z47</f>
        <v>68.3</v>
      </c>
      <c r="AB47" s="42">
        <f t="shared" si="20"/>
        <v>2.031114299000113E-3</v>
      </c>
      <c r="AC47" s="17"/>
      <c r="AD47" s="4" t="str">
        <f>'Standard Vorgaben'!$B$167</f>
        <v>Schnittholzhacker</v>
      </c>
      <c r="AE47" s="57">
        <f>'Standard Vorgaben'!$E$167</f>
        <v>1</v>
      </c>
      <c r="AF47" s="686">
        <f>'Standard Vorgaben'!$C$167</f>
        <v>3</v>
      </c>
      <c r="AG47" s="61">
        <f>'Standard Vorgaben'!$D$167</f>
        <v>68.3</v>
      </c>
      <c r="AH47" s="198">
        <f>AE47*AG47</f>
        <v>68.3</v>
      </c>
      <c r="AI47" s="42">
        <f t="shared" si="21"/>
        <v>1.243123421124856E-3</v>
      </c>
      <c r="AJ47" s="17"/>
      <c r="AK47" s="20" t="str">
        <f>'Standard Vorgaben'!$B$167</f>
        <v>Schnittholzhacker</v>
      </c>
      <c r="AL47" s="57">
        <f>'Standard Vorgaben'!$E$167</f>
        <v>1</v>
      </c>
      <c r="AM47" s="686">
        <f>'Standard Vorgaben'!$C$167</f>
        <v>3</v>
      </c>
      <c r="AN47" s="61">
        <f>'Standard Vorgaben'!$D$167</f>
        <v>68.3</v>
      </c>
      <c r="AO47" s="198">
        <f>AL47*AN47</f>
        <v>68.3</v>
      </c>
      <c r="AP47" s="42">
        <f t="shared" si="22"/>
        <v>1.2148094563300693E-3</v>
      </c>
      <c r="AQ47" s="17"/>
      <c r="AR47" s="4" t="str">
        <f>'Standard Vorgaben'!$B$167</f>
        <v>Schnittholzhacker</v>
      </c>
      <c r="AS47" s="57">
        <f>'Standard Vorgaben'!$E$167</f>
        <v>1</v>
      </c>
      <c r="AT47" s="686">
        <f>'Standard Vorgaben'!$C$167</f>
        <v>3</v>
      </c>
      <c r="AU47" s="61">
        <f>'Standard Vorgaben'!$D$167</f>
        <v>68.3</v>
      </c>
      <c r="AV47" s="198">
        <f>AS47*AU47</f>
        <v>68.3</v>
      </c>
      <c r="AW47" s="42">
        <f t="shared" si="23"/>
        <v>1.2517012202730758E-3</v>
      </c>
      <c r="AX47" s="17"/>
      <c r="AY47" s="20" t="str">
        <f>'Standard Vorgaben'!$B$167</f>
        <v>Schnittholzhacker</v>
      </c>
      <c r="AZ47" s="57">
        <f>'Standard Vorgaben'!$E$167</f>
        <v>1</v>
      </c>
      <c r="BA47" s="686">
        <f>'Standard Vorgaben'!$C$167</f>
        <v>3</v>
      </c>
      <c r="BB47" s="61">
        <f>'Standard Vorgaben'!$D$167</f>
        <v>68.3</v>
      </c>
      <c r="BC47" s="198">
        <f>AZ47*BB47</f>
        <v>68.3</v>
      </c>
      <c r="BD47" s="42">
        <f t="shared" si="24"/>
        <v>1.2562460774511687E-3</v>
      </c>
      <c r="BE47" s="17"/>
      <c r="BF47" s="20" t="str">
        <f>'Standard Vorgaben'!$B$167</f>
        <v>Schnittholzhacker</v>
      </c>
      <c r="BG47" s="57">
        <f>'Standard Vorgaben'!$E$167</f>
        <v>1</v>
      </c>
      <c r="BH47" s="686">
        <f>'Standard Vorgaben'!$C$167</f>
        <v>3</v>
      </c>
      <c r="BI47" s="61">
        <f>'Standard Vorgaben'!$D$167</f>
        <v>68.3</v>
      </c>
      <c r="BJ47" s="198">
        <f>BG47*BI47</f>
        <v>68.3</v>
      </c>
      <c r="BK47" s="42">
        <f t="shared" si="25"/>
        <v>6.8087068757374217E-4</v>
      </c>
      <c r="BL47" s="17"/>
      <c r="BM47" s="20" t="str">
        <f>'Standard Vorgaben'!$B$167</f>
        <v>Schnittholzhacker</v>
      </c>
      <c r="BN47" s="57">
        <f>'Standard Vorgaben'!$E$167</f>
        <v>1</v>
      </c>
      <c r="BO47" s="686">
        <f>'Standard Vorgaben'!$C$167</f>
        <v>3</v>
      </c>
      <c r="BP47" s="61">
        <f>'Standard Vorgaben'!$D$167</f>
        <v>68.3</v>
      </c>
      <c r="BQ47" s="198">
        <f>BN47*BP47</f>
        <v>68.3</v>
      </c>
      <c r="BR47" s="42">
        <f t="shared" si="26"/>
        <v>1.1583482683932584E-3</v>
      </c>
      <c r="BS47" s="17"/>
      <c r="BT47" s="4" t="str">
        <f>'Standard Vorgaben'!$B$167</f>
        <v>Schnittholzhacker</v>
      </c>
      <c r="BU47" s="57">
        <f>'Standard Vorgaben'!$E$167</f>
        <v>1</v>
      </c>
      <c r="BV47" s="686">
        <f>'Standard Vorgaben'!$C$167</f>
        <v>3</v>
      </c>
      <c r="BW47" s="61">
        <f>'Standard Vorgaben'!$D$167</f>
        <v>68.3</v>
      </c>
      <c r="BX47" s="198">
        <f>BU47*BW47</f>
        <v>68.3</v>
      </c>
      <c r="BY47" s="42">
        <f t="shared" si="27"/>
        <v>1.2595520344666155E-3</v>
      </c>
      <c r="BZ47" s="17"/>
      <c r="CA47" s="20" t="str">
        <f>'Standard Vorgaben'!$B$167</f>
        <v>Schnittholzhacker</v>
      </c>
      <c r="CB47" s="57">
        <f>'Standard Vorgaben'!$E$167</f>
        <v>1</v>
      </c>
      <c r="CC47" s="686">
        <f>'Standard Vorgaben'!$C$167</f>
        <v>3</v>
      </c>
      <c r="CD47" s="61">
        <f>'Standard Vorgaben'!$D$167</f>
        <v>68.3</v>
      </c>
      <c r="CE47" s="198">
        <f>CB47*CD47</f>
        <v>68.3</v>
      </c>
      <c r="CF47" s="42">
        <f t="shared" si="28"/>
        <v>1.2306364950924779E-3</v>
      </c>
      <c r="CG47" s="17"/>
      <c r="CH47" s="4" t="str">
        <f>'Standard Vorgaben'!$B$167</f>
        <v>Schnittholzhacker</v>
      </c>
      <c r="CI47" s="57">
        <f>'Standard Vorgaben'!$E$167</f>
        <v>1</v>
      </c>
      <c r="CJ47" s="686">
        <f>'Standard Vorgaben'!$C$167</f>
        <v>3</v>
      </c>
      <c r="CK47" s="61">
        <f>'Standard Vorgaben'!$D$167</f>
        <v>68.3</v>
      </c>
      <c r="CL47" s="198">
        <f>CI47*CK47</f>
        <v>68.3</v>
      </c>
      <c r="CM47" s="42">
        <f t="shared" si="29"/>
        <v>1.2686641246089571E-3</v>
      </c>
      <c r="CN47" s="17"/>
      <c r="CO47" s="20" t="str">
        <f>'Standard Vorgaben'!$B$167</f>
        <v>Schnittholzhacker</v>
      </c>
      <c r="CP47" s="57">
        <f>'Standard Vorgaben'!$E$167</f>
        <v>1</v>
      </c>
      <c r="CQ47" s="686">
        <f>'Standard Vorgaben'!$C$167</f>
        <v>3</v>
      </c>
      <c r="CR47" s="61">
        <f>'Standard Vorgaben'!$D$167</f>
        <v>68.3</v>
      </c>
      <c r="CS47" s="198">
        <f>CP47*CR47</f>
        <v>68.3</v>
      </c>
      <c r="CT47" s="42">
        <f t="shared" si="30"/>
        <v>1.2734891241141053E-3</v>
      </c>
      <c r="CU47" s="17"/>
      <c r="CV47" s="20" t="str">
        <f>'Standard Vorgaben'!$B$167</f>
        <v>Schnittholzhacker</v>
      </c>
      <c r="CW47" s="57">
        <f>'Standard Vorgaben'!$E$167</f>
        <v>1</v>
      </c>
      <c r="CX47" s="686">
        <f>'Standard Vorgaben'!$C$167</f>
        <v>3</v>
      </c>
      <c r="CY47" s="61">
        <f>'Standard Vorgaben'!$D$167</f>
        <v>68.3</v>
      </c>
      <c r="CZ47" s="198">
        <f>CW47*CY47</f>
        <v>68.3</v>
      </c>
      <c r="DA47" s="42">
        <f t="shared" si="31"/>
        <v>1.2440586595085761E-3</v>
      </c>
      <c r="DB47" s="17"/>
      <c r="DC47" s="20" t="str">
        <f>'Standard Vorgaben'!$B$167</f>
        <v>Schnittholzhacker</v>
      </c>
      <c r="DD47" s="57">
        <f>'Standard Vorgaben'!$E$167</f>
        <v>1</v>
      </c>
      <c r="DE47" s="686">
        <f>'Standard Vorgaben'!$C$167</f>
        <v>3</v>
      </c>
      <c r="DF47" s="61">
        <f>'Standard Vorgaben'!$D$167</f>
        <v>68.3</v>
      </c>
      <c r="DG47" s="198">
        <f>DD47*DF47</f>
        <v>68.3</v>
      </c>
      <c r="DH47" s="42">
        <f t="shared" si="32"/>
        <v>1.1530933161474127E-3</v>
      </c>
    </row>
    <row r="48" spans="1:112" ht="16.5" customHeight="1" x14ac:dyDescent="0.2">
      <c r="B48" s="20" t="s">
        <v>131</v>
      </c>
      <c r="C48" s="45"/>
      <c r="D48" s="412">
        <f>(C39*D39)+C40*D40+C41*D41+C42*D42+(D43)+(C45*D45)+(C47*D47)</f>
        <v>19</v>
      </c>
      <c r="E48" s="61"/>
      <c r="F48" s="1266">
        <f>SUM(F38:F47)</f>
        <v>1172.3</v>
      </c>
      <c r="G48" s="42">
        <f t="shared" si="17"/>
        <v>9.7128758055141998E-2</v>
      </c>
      <c r="H48" s="17"/>
      <c r="I48" s="4" t="s">
        <v>131</v>
      </c>
      <c r="J48" s="45"/>
      <c r="K48" s="412">
        <f>(J39*K39)+J40*K40+J41*K41+J42*K42+(K43)+(J45*K45)+(J47*K47)</f>
        <v>19</v>
      </c>
      <c r="L48" s="61"/>
      <c r="M48" s="116">
        <f>SUM(M38:M47)</f>
        <v>1172.3</v>
      </c>
      <c r="N48" s="42">
        <f t="shared" si="18"/>
        <v>9.6079360706894393E-2</v>
      </c>
      <c r="O48" s="3"/>
      <c r="P48" s="4" t="s">
        <v>131</v>
      </c>
      <c r="Q48" s="45"/>
      <c r="R48" s="412">
        <f>(Q38*R38)+(Q40*R40+Q41*R41+Q42*R42)+(Q39*R39)+(R43)+(Q45*R45)+(Q47*R47)</f>
        <v>45.58653846153846</v>
      </c>
      <c r="S48" s="61"/>
      <c r="T48" s="116">
        <f>SUM(T38:T47)</f>
        <v>4235.4250000000002</v>
      </c>
      <c r="U48" s="42">
        <f t="shared" si="19"/>
        <v>4.9446955159113723E-2</v>
      </c>
      <c r="V48" s="17"/>
      <c r="W48" s="4" t="s">
        <v>131</v>
      </c>
      <c r="X48" s="45"/>
      <c r="Y48" s="412">
        <f>(X38*Y38)+(X40*Y40+X41*Y41+X42*Y42)+(X39*Y39)+(Y43)+(X45*Y45)+(X47*Y47)</f>
        <v>62.006410256410263</v>
      </c>
      <c r="Z48" s="61"/>
      <c r="AA48" s="116">
        <f>SUM(AA38:AA47)</f>
        <v>4210.3833333333341</v>
      </c>
      <c r="AB48" s="42">
        <f t="shared" si="20"/>
        <v>0.12520892814941573</v>
      </c>
      <c r="AC48" s="17"/>
      <c r="AD48" s="4" t="s">
        <v>131</v>
      </c>
      <c r="AE48" s="45"/>
      <c r="AF48" s="412">
        <f>(AE38*AF38)+(AE40*AF40+AE41*AF41+AE42*AF42)+(AE39*AF39)+(AF43)+(AE45*AF45)+(AE47*AF47)</f>
        <v>110.71794871794873</v>
      </c>
      <c r="AG48" s="61"/>
      <c r="AH48" s="116">
        <f>SUM(AH38:AH47)</f>
        <v>5514.6333333333341</v>
      </c>
      <c r="AI48" s="42">
        <f t="shared" si="21"/>
        <v>0.10037144737309668</v>
      </c>
      <c r="AJ48" s="17"/>
      <c r="AK48" s="20" t="s">
        <v>131</v>
      </c>
      <c r="AL48" s="45"/>
      <c r="AM48" s="412">
        <f>(AL38*AM38)+(AL40*AM40+AL41*AM41+AL42*AM42)+(AL39*AM39)+(AM43)+(AL45*AM45)+(AL47*AM47)</f>
        <v>118.02564102564104</v>
      </c>
      <c r="AN48" s="61"/>
      <c r="AO48" s="116">
        <f>SUM(AO38:AO47)</f>
        <v>6350.6333333333341</v>
      </c>
      <c r="AP48" s="42">
        <f t="shared" si="22"/>
        <v>0.11295475002955027</v>
      </c>
      <c r="AQ48" s="17"/>
      <c r="AR48" s="4" t="s">
        <v>131</v>
      </c>
      <c r="AS48" s="45"/>
      <c r="AT48" s="412">
        <f>(AS38*AT38)+(AS40*AT40+AS41*AT41+AS42*AT42)+(AS39*AT39)+(AT43)+(AS45*AT45)+(AS47*AT47)</f>
        <v>110.71794871794873</v>
      </c>
      <c r="AU48" s="61"/>
      <c r="AV48" s="116">
        <f>SUM(AV38:AV47)</f>
        <v>5514.6333333333341</v>
      </c>
      <c r="AW48" s="42">
        <f t="shared" si="23"/>
        <v>0.10106403034688015</v>
      </c>
      <c r="AX48" s="17"/>
      <c r="AY48" s="20" t="s">
        <v>131</v>
      </c>
      <c r="AZ48" s="45"/>
      <c r="BA48" s="412">
        <f>(AZ38*BA38)+(AZ40*BA40+AZ41*BA41+AZ42*BA42)+(AZ39*BA39)+(BA43)+(AZ45*BA45)+(AZ47*BA47)</f>
        <v>110.71794871794873</v>
      </c>
      <c r="BB48" s="61"/>
      <c r="BC48" s="116">
        <f>SUM(BC38:BC47)</f>
        <v>5514.6333333333341</v>
      </c>
      <c r="BD48" s="42">
        <f t="shared" si="24"/>
        <v>0.10143098819299362</v>
      </c>
      <c r="BE48" s="17"/>
      <c r="BF48" s="20" t="s">
        <v>131</v>
      </c>
      <c r="BG48" s="45"/>
      <c r="BH48" s="412">
        <f>(BG38*BH38)+(BG40*BH40+BG41*BH41+BG42*BH42)+(BG39*BH39)+(BH43)+(BG45*BH45)+(BG47*BH47)</f>
        <v>118.02564102564104</v>
      </c>
      <c r="BI48" s="61"/>
      <c r="BJ48" s="116">
        <f>SUM(BJ38:BJ47)</f>
        <v>6350.6333333333341</v>
      </c>
      <c r="BK48" s="42">
        <f t="shared" si="25"/>
        <v>6.3308346767136064E-2</v>
      </c>
      <c r="BL48" s="17"/>
      <c r="BM48" s="20" t="s">
        <v>131</v>
      </c>
      <c r="BN48" s="45"/>
      <c r="BO48" s="412">
        <f>(BN38*BO38)+(BN40*BO40+BN41*BO41+BN42*BO42)+(BN39*BO39)+(BO43)+(BN45*BO45)+(BN47*BO47)</f>
        <v>110.71794871794873</v>
      </c>
      <c r="BP48" s="61"/>
      <c r="BQ48" s="116">
        <f>SUM(BQ38:BQ47)</f>
        <v>5514.6333333333341</v>
      </c>
      <c r="BR48" s="42">
        <f t="shared" si="26"/>
        <v>9.3526588177019185E-2</v>
      </c>
      <c r="BS48" s="17"/>
      <c r="BT48" s="4" t="s">
        <v>131</v>
      </c>
      <c r="BU48" s="45"/>
      <c r="BV48" s="412">
        <f>(BU38*BV38)+(BU40*BV40+BU41*BV41+BU42*BV42)+(BU39*BV39)+(BV43)+(BU45*BV45)+(BU47*BV47)</f>
        <v>110.71794871794873</v>
      </c>
      <c r="BW48" s="61"/>
      <c r="BX48" s="116">
        <f>SUM(BX38:BX47)</f>
        <v>5514.6333333333341</v>
      </c>
      <c r="BY48" s="42">
        <f t="shared" si="27"/>
        <v>0.10169791558327107</v>
      </c>
      <c r="BZ48" s="17"/>
      <c r="CA48" s="20" t="s">
        <v>131</v>
      </c>
      <c r="CB48" s="45"/>
      <c r="CC48" s="412">
        <f>(CB38*CC38)+(CB40*CC40+CB41*CC41+CB42*CC42)+(CB39*CC39)+(CC43)+(CB45*CC45)+(CB47*CC47)</f>
        <v>118.02564102564104</v>
      </c>
      <c r="CD48" s="61"/>
      <c r="CE48" s="116">
        <f>SUM(CE38:CE47)</f>
        <v>6350.6333333333341</v>
      </c>
      <c r="CF48" s="42">
        <f t="shared" si="28"/>
        <v>0.11442637111201749</v>
      </c>
      <c r="CG48" s="17"/>
      <c r="CH48" s="4" t="s">
        <v>131</v>
      </c>
      <c r="CI48" s="45"/>
      <c r="CJ48" s="412">
        <f>(CI38*CJ38)+(CI40*CJ40+CI41*CJ41+CI42*CJ42)+(CI39*CJ39)+(CJ43)+(CI45*CJ45)+(CI47*CJ47)</f>
        <v>110.71794871794873</v>
      </c>
      <c r="CK48" s="61"/>
      <c r="CL48" s="116">
        <f>SUM(CL38:CL47)</f>
        <v>5514.6333333333341</v>
      </c>
      <c r="CM48" s="42">
        <f t="shared" si="29"/>
        <v>0.102433637926394</v>
      </c>
      <c r="CN48" s="17"/>
      <c r="CO48" s="20" t="s">
        <v>131</v>
      </c>
      <c r="CP48" s="45"/>
      <c r="CQ48" s="412">
        <f>(CP38*CQ38)+(CP40*CQ40+CP41*CQ41+CP42*CQ42)+(CP39*CQ39)+(CQ43)+(CP45*CQ45)+(CP47*CQ47)</f>
        <v>110.71794871794873</v>
      </c>
      <c r="CR48" s="61"/>
      <c r="CS48" s="116">
        <f>SUM(CS38:CS47)</f>
        <v>5514.6333333333341</v>
      </c>
      <c r="CT48" s="42">
        <f t="shared" si="30"/>
        <v>0.1028232148386108</v>
      </c>
      <c r="CU48" s="17"/>
      <c r="CV48" s="20" t="s">
        <v>131</v>
      </c>
      <c r="CW48" s="45"/>
      <c r="CX48" s="412">
        <f>(CW38*CX38)+(CW40*CX40+CW41*CX41+CW42*CX42)+(CW39*CX39)+(CX43)+(CW45*CX45)+(CW47*CX47)</f>
        <v>118.02564102564104</v>
      </c>
      <c r="CY48" s="61"/>
      <c r="CZ48" s="116">
        <f>SUM(CZ38:CZ47)</f>
        <v>6350.6333333333341</v>
      </c>
      <c r="DA48" s="42">
        <f t="shared" si="31"/>
        <v>0.11567438348019252</v>
      </c>
      <c r="DB48" s="17"/>
      <c r="DC48" s="20" t="s">
        <v>131</v>
      </c>
      <c r="DD48" s="45"/>
      <c r="DE48" s="412">
        <f>(DD38*DE38)+(DD40*DE40+DD41*DE41+DD42*DE42)+(DD39*DE39)+(DE43)+(DD45*DE45)+(DD47*DE47)</f>
        <v>110.71794871794873</v>
      </c>
      <c r="DF48" s="61"/>
      <c r="DG48" s="116">
        <f>SUM(DG38:DG47)</f>
        <v>5514.6333333333341</v>
      </c>
      <c r="DH48" s="42">
        <f t="shared" si="32"/>
        <v>9.3102296305569474E-2</v>
      </c>
    </row>
    <row r="49" spans="1:112" x14ac:dyDescent="0.2">
      <c r="A49" s="153"/>
      <c r="B49" s="62" t="str">
        <f>'Standard Vorgaben'!$B$155</f>
        <v>Obstbautraktor 4-Rad</v>
      </c>
      <c r="C49" s="45"/>
      <c r="D49" s="413">
        <f>D48</f>
        <v>19</v>
      </c>
      <c r="E49" s="61">
        <f>'Standard Vorgaben'!$D$155</f>
        <v>41</v>
      </c>
      <c r="F49" s="1266">
        <f>D49*E49</f>
        <v>779</v>
      </c>
      <c r="G49" s="42">
        <f t="shared" si="17"/>
        <v>6.4542610701147848E-2</v>
      </c>
      <c r="H49" s="153"/>
      <c r="I49" s="104" t="str">
        <f>'Standard Vorgaben'!$B$155</f>
        <v>Obstbautraktor 4-Rad</v>
      </c>
      <c r="J49" s="45"/>
      <c r="K49" s="413">
        <f>K48</f>
        <v>19</v>
      </c>
      <c r="L49" s="61">
        <f>'Standard Vorgaben'!$D$155</f>
        <v>41</v>
      </c>
      <c r="M49" s="116">
        <f>K49*L49</f>
        <v>779</v>
      </c>
      <c r="N49" s="42">
        <f t="shared" si="18"/>
        <v>6.384528021041605E-2</v>
      </c>
      <c r="O49" s="694"/>
      <c r="P49" s="104" t="str">
        <f>'Standard Vorgaben'!$B$155</f>
        <v>Obstbautraktor 4-Rad</v>
      </c>
      <c r="Q49" s="45"/>
      <c r="R49" s="413">
        <f>R48</f>
        <v>45.58653846153846</v>
      </c>
      <c r="S49" s="61">
        <f>'Standard Vorgaben'!$D$155</f>
        <v>41</v>
      </c>
      <c r="T49" s="116">
        <f>R49*S49</f>
        <v>1869.0480769230769</v>
      </c>
      <c r="U49" s="42">
        <f t="shared" si="19"/>
        <v>2.1820416239183342E-2</v>
      </c>
      <c r="V49" s="153"/>
      <c r="W49" s="104" t="str">
        <f>'Standard Vorgaben'!$B$155</f>
        <v>Obstbautraktor 4-Rad</v>
      </c>
      <c r="X49" s="45"/>
      <c r="Y49" s="413">
        <f>Y48</f>
        <v>62.006410256410263</v>
      </c>
      <c r="Z49" s="61">
        <f>'Standard Vorgaben'!$D$155</f>
        <v>41</v>
      </c>
      <c r="AA49" s="116">
        <f>Y49*Z49</f>
        <v>2542.2628205128208</v>
      </c>
      <c r="AB49" s="42">
        <f t="shared" si="20"/>
        <v>7.5602142995021201E-2</v>
      </c>
      <c r="AC49" s="153"/>
      <c r="AD49" s="104" t="str">
        <f>'Standard Vorgaben'!$B$155</f>
        <v>Obstbautraktor 4-Rad</v>
      </c>
      <c r="AE49" s="45"/>
      <c r="AF49" s="413">
        <f>AF48</f>
        <v>110.71794871794873</v>
      </c>
      <c r="AG49" s="61">
        <f>'Standard Vorgaben'!$D$155</f>
        <v>41</v>
      </c>
      <c r="AH49" s="116">
        <f>AF49*AG49</f>
        <v>4539.4358974358984</v>
      </c>
      <c r="AI49" s="42">
        <f t="shared" si="21"/>
        <v>8.2621948503623643E-2</v>
      </c>
      <c r="AJ49" s="153"/>
      <c r="AK49" s="62" t="str">
        <f>'Standard Vorgaben'!$B$155</f>
        <v>Obstbautraktor 4-Rad</v>
      </c>
      <c r="AL49" s="45"/>
      <c r="AM49" s="413">
        <f>AM48</f>
        <v>118.02564102564104</v>
      </c>
      <c r="AN49" s="61">
        <f>'Standard Vorgaben'!$D$155</f>
        <v>41</v>
      </c>
      <c r="AO49" s="116">
        <f>AM49*AN49</f>
        <v>4839.0512820512822</v>
      </c>
      <c r="AP49" s="42">
        <f t="shared" si="22"/>
        <v>8.6069183852152897E-2</v>
      </c>
      <c r="AQ49" s="153"/>
      <c r="AR49" s="104" t="str">
        <f>'Standard Vorgaben'!$B$155</f>
        <v>Obstbautraktor 4-Rad</v>
      </c>
      <c r="AS49" s="45"/>
      <c r="AT49" s="413">
        <f>AT48</f>
        <v>110.71794871794873</v>
      </c>
      <c r="AU49" s="61">
        <f>'Standard Vorgaben'!$D$155</f>
        <v>41</v>
      </c>
      <c r="AV49" s="116">
        <f>AT49*AU49</f>
        <v>4539.4358974358984</v>
      </c>
      <c r="AW49" s="42">
        <f t="shared" si="23"/>
        <v>8.3192056400760162E-2</v>
      </c>
      <c r="AX49" s="153"/>
      <c r="AY49" s="62" t="str">
        <f>'Standard Vorgaben'!$B$155</f>
        <v>Obstbautraktor 4-Rad</v>
      </c>
      <c r="AZ49" s="45"/>
      <c r="BA49" s="413">
        <f>BA48</f>
        <v>110.71794871794873</v>
      </c>
      <c r="BB49" s="61">
        <f>'Standard Vorgaben'!$D$155</f>
        <v>41</v>
      </c>
      <c r="BC49" s="116">
        <f>BA49*BB49</f>
        <v>4539.4358974358984</v>
      </c>
      <c r="BD49" s="42">
        <f t="shared" si="24"/>
        <v>8.3494122108270466E-2</v>
      </c>
      <c r="BE49" s="153"/>
      <c r="BF49" s="62" t="str">
        <f>'Standard Vorgaben'!$B$155</f>
        <v>Obstbautraktor 4-Rad</v>
      </c>
      <c r="BG49" s="45"/>
      <c r="BH49" s="413">
        <f>BH48</f>
        <v>118.02564102564104</v>
      </c>
      <c r="BI49" s="61">
        <f>'Standard Vorgaben'!$D$155</f>
        <v>41</v>
      </c>
      <c r="BJ49" s="116">
        <f>BH49*BI49</f>
        <v>4839.0512820512822</v>
      </c>
      <c r="BK49" s="42">
        <f t="shared" si="25"/>
        <v>4.8239651151022765E-2</v>
      </c>
      <c r="BL49" s="153"/>
      <c r="BM49" s="62" t="str">
        <f>'Standard Vorgaben'!$B$155</f>
        <v>Obstbautraktor 4-Rad</v>
      </c>
      <c r="BN49" s="45"/>
      <c r="BO49" s="413">
        <f>BO48</f>
        <v>110.71794871794873</v>
      </c>
      <c r="BP49" s="61">
        <f>'Standard Vorgaben'!$D$155</f>
        <v>41</v>
      </c>
      <c r="BQ49" s="116">
        <f>BO49*BP49</f>
        <v>4539.4358974358984</v>
      </c>
      <c r="BR49" s="42">
        <f t="shared" si="26"/>
        <v>7.6987521394979067E-2</v>
      </c>
      <c r="BS49" s="153"/>
      <c r="BT49" s="104" t="str">
        <f>'Standard Vorgaben'!$B$155</f>
        <v>Obstbautraktor 4-Rad</v>
      </c>
      <c r="BU49" s="45"/>
      <c r="BV49" s="413">
        <f>BV48</f>
        <v>110.71794871794873</v>
      </c>
      <c r="BW49" s="61">
        <f>'Standard Vorgaben'!$D$155</f>
        <v>41</v>
      </c>
      <c r="BX49" s="116">
        <f>BV49*BW49</f>
        <v>4539.4358974358984</v>
      </c>
      <c r="BY49" s="42">
        <f t="shared" si="27"/>
        <v>8.3713846558509108E-2</v>
      </c>
      <c r="BZ49" s="153"/>
      <c r="CA49" s="62" t="str">
        <f>'Standard Vorgaben'!$B$155</f>
        <v>Obstbautraktor 4-Rad</v>
      </c>
      <c r="CB49" s="45"/>
      <c r="CC49" s="413">
        <f>CC48</f>
        <v>118.02564102564104</v>
      </c>
      <c r="CD49" s="61">
        <f>'Standard Vorgaben'!$D$155</f>
        <v>41</v>
      </c>
      <c r="CE49" s="116">
        <f>CC49*CD49</f>
        <v>4839.0512820512822</v>
      </c>
      <c r="CF49" s="42">
        <f t="shared" si="28"/>
        <v>8.7190528686915847E-2</v>
      </c>
      <c r="CG49" s="153"/>
      <c r="CH49" s="104" t="str">
        <f>'Standard Vorgaben'!$B$155</f>
        <v>Obstbautraktor 4-Rad</v>
      </c>
      <c r="CI49" s="45"/>
      <c r="CJ49" s="413">
        <f>CJ48</f>
        <v>110.71794871794873</v>
      </c>
      <c r="CK49" s="61">
        <f>'Standard Vorgaben'!$D$155</f>
        <v>41</v>
      </c>
      <c r="CL49" s="116">
        <f>CJ49*CK49</f>
        <v>4539.4358974358984</v>
      </c>
      <c r="CM49" s="42">
        <f t="shared" si="29"/>
        <v>8.4319465139663097E-2</v>
      </c>
      <c r="CN49" s="153"/>
      <c r="CO49" s="62" t="str">
        <f>'Standard Vorgaben'!$B$155</f>
        <v>Obstbautraktor 4-Rad</v>
      </c>
      <c r="CP49" s="45"/>
      <c r="CQ49" s="413">
        <f>CQ48</f>
        <v>110.71794871794873</v>
      </c>
      <c r="CR49" s="61">
        <f>'Standard Vorgaben'!$D$155</f>
        <v>41</v>
      </c>
      <c r="CS49" s="116">
        <f>CQ49*CR49</f>
        <v>4539.4358974358984</v>
      </c>
      <c r="CT49" s="42">
        <f t="shared" si="30"/>
        <v>8.4640149999967357E-2</v>
      </c>
      <c r="CU49" s="153"/>
      <c r="CV49" s="62" t="str">
        <f>'Standard Vorgaben'!$B$155</f>
        <v>Obstbautraktor 4-Rad</v>
      </c>
      <c r="CW49" s="45"/>
      <c r="CX49" s="413">
        <f>CX48</f>
        <v>118.02564102564104</v>
      </c>
      <c r="CY49" s="61">
        <f>'Standard Vorgaben'!$D$155</f>
        <v>41</v>
      </c>
      <c r="CZ49" s="116">
        <f>CX49*CY49</f>
        <v>4839.0512820512822</v>
      </c>
      <c r="DA49" s="42">
        <f t="shared" si="31"/>
        <v>8.8141488305153365E-2</v>
      </c>
      <c r="DB49" s="153"/>
      <c r="DC49" s="62" t="str">
        <f>'Standard Vorgaben'!$B$155</f>
        <v>Obstbautraktor 4-Rad</v>
      </c>
      <c r="DD49" s="45"/>
      <c r="DE49" s="413">
        <f>DE48</f>
        <v>110.71794871794873</v>
      </c>
      <c r="DF49" s="61">
        <f>'Standard Vorgaben'!$D$155</f>
        <v>41</v>
      </c>
      <c r="DG49" s="116">
        <f>DE49*DF49</f>
        <v>4539.4358974358984</v>
      </c>
      <c r="DH49" s="42">
        <f t="shared" si="32"/>
        <v>7.663826050385017E-2</v>
      </c>
    </row>
    <row r="50" spans="1:112" x14ac:dyDescent="0.2">
      <c r="A50" s="153"/>
      <c r="B50" s="62"/>
      <c r="C50" s="45"/>
      <c r="D50" s="413"/>
      <c r="E50" s="61"/>
      <c r="F50" s="116"/>
      <c r="G50" s="42"/>
      <c r="H50" s="153"/>
      <c r="I50" s="104"/>
      <c r="J50" s="45"/>
      <c r="K50" s="413"/>
      <c r="L50" s="61"/>
      <c r="M50" s="116"/>
      <c r="N50" s="42"/>
      <c r="O50" s="1352" t="s">
        <v>525</v>
      </c>
      <c r="P50" s="1353" t="str">
        <f>'Standard Vorgaben'!$B$155</f>
        <v>Obstbautraktor 4-Rad</v>
      </c>
      <c r="Q50" s="45"/>
      <c r="R50" s="413">
        <f>'Standard Erstellung'!D114</f>
        <v>60</v>
      </c>
      <c r="S50" s="61">
        <f>'Standard Vorgaben'!$D$155</f>
        <v>41</v>
      </c>
      <c r="T50" s="116">
        <f>R50*S50</f>
        <v>2460</v>
      </c>
      <c r="U50" s="42">
        <f t="shared" si="19"/>
        <v>2.8719552274310074E-2</v>
      </c>
      <c r="V50" s="153"/>
      <c r="W50" s="104"/>
      <c r="X50" s="45"/>
      <c r="Y50" s="413"/>
      <c r="Z50" s="61"/>
      <c r="AA50" s="116"/>
      <c r="AB50" s="42"/>
      <c r="AC50" s="153"/>
      <c r="AD50" s="104"/>
      <c r="AE50" s="45"/>
      <c r="AF50" s="413"/>
      <c r="AG50" s="61"/>
      <c r="AH50" s="116"/>
      <c r="AI50" s="42"/>
      <c r="AJ50" s="153"/>
      <c r="AK50" s="62"/>
      <c r="AL50" s="45"/>
      <c r="AM50" s="413"/>
      <c r="AN50" s="61"/>
      <c r="AO50" s="116"/>
      <c r="AP50" s="42"/>
      <c r="AQ50" s="153"/>
      <c r="AR50" s="104"/>
      <c r="AS50" s="45"/>
      <c r="AT50" s="413"/>
      <c r="AU50" s="61"/>
      <c r="AV50" s="116"/>
      <c r="AW50" s="42"/>
      <c r="AX50" s="1354"/>
      <c r="AY50" s="1353"/>
      <c r="AZ50" s="1144"/>
      <c r="BA50" s="1224"/>
      <c r="BB50" s="61"/>
      <c r="BC50" s="116"/>
      <c r="BD50" s="42"/>
      <c r="BE50" s="1354" t="s">
        <v>528</v>
      </c>
      <c r="BF50" s="1353" t="str">
        <f>'Standard Vorgaben'!$B$155</f>
        <v>Obstbautraktor 4-Rad</v>
      </c>
      <c r="BG50" s="1144"/>
      <c r="BH50" s="1224">
        <f>'Standard Erstellung'!D159</f>
        <v>10</v>
      </c>
      <c r="BI50" s="61">
        <f>'Standard Vorgaben'!$D$155</f>
        <v>41</v>
      </c>
      <c r="BJ50" s="116">
        <f>BH50*BI50</f>
        <v>410</v>
      </c>
      <c r="BK50" s="42">
        <f t="shared" si="25"/>
        <v>4.0872178902669736E-3</v>
      </c>
      <c r="BL50" s="1352" t="s">
        <v>529</v>
      </c>
      <c r="BM50" s="1353" t="str">
        <f>'Standard Vorgaben'!$B$155</f>
        <v>Obstbautraktor 4-Rad</v>
      </c>
      <c r="BN50" s="45"/>
      <c r="BO50" s="413">
        <f>'Standard Erstellung'!D173</f>
        <v>5</v>
      </c>
      <c r="BP50" s="61">
        <f>'Standard Vorgaben'!$D$155</f>
        <v>41</v>
      </c>
      <c r="BQ50" s="116">
        <f>BO50*BP50</f>
        <v>205</v>
      </c>
      <c r="BR50" s="42">
        <f t="shared" si="26"/>
        <v>3.4767407762901605E-3</v>
      </c>
      <c r="BS50" s="153"/>
      <c r="BT50" s="104"/>
      <c r="BU50" s="45"/>
      <c r="BV50" s="413"/>
      <c r="BW50" s="61"/>
      <c r="BX50" s="116"/>
      <c r="BY50" s="42"/>
      <c r="BZ50" s="153"/>
      <c r="CA50" s="62"/>
      <c r="CB50" s="45"/>
      <c r="CC50" s="413"/>
      <c r="CD50" s="61"/>
      <c r="CE50" s="116"/>
      <c r="CF50" s="42"/>
      <c r="CG50" s="1354"/>
      <c r="CH50" s="1353"/>
      <c r="CI50" s="1144"/>
      <c r="CJ50" s="1224"/>
      <c r="CK50" s="61"/>
      <c r="CL50" s="116"/>
      <c r="CM50" s="42"/>
      <c r="CN50" s="153"/>
      <c r="CO50" s="62"/>
      <c r="CP50" s="45"/>
      <c r="CQ50" s="413"/>
      <c r="CR50" s="61"/>
      <c r="CS50" s="116"/>
      <c r="CT50" s="42"/>
      <c r="CU50" s="153"/>
      <c r="CV50" s="62"/>
      <c r="CW50" s="45"/>
      <c r="CX50" s="413"/>
      <c r="CY50" s="61"/>
      <c r="CZ50" s="116"/>
      <c r="DA50" s="42"/>
      <c r="DB50" s="153"/>
      <c r="DC50" s="62"/>
      <c r="DD50" s="45"/>
      <c r="DE50" s="413"/>
      <c r="DF50" s="61"/>
      <c r="DG50" s="116"/>
      <c r="DH50" s="42"/>
    </row>
    <row r="51" spans="1:112" x14ac:dyDescent="0.2">
      <c r="A51" s="153"/>
      <c r="B51" s="62"/>
      <c r="C51" s="45"/>
      <c r="D51" s="413"/>
      <c r="E51" s="61"/>
      <c r="F51" s="116"/>
      <c r="G51" s="42"/>
      <c r="H51" s="153"/>
      <c r="I51" s="104"/>
      <c r="J51" s="45"/>
      <c r="K51" s="413"/>
      <c r="L51" s="61"/>
      <c r="M51" s="116"/>
      <c r="N51" s="42"/>
      <c r="O51" s="1352" t="s">
        <v>526</v>
      </c>
      <c r="P51" s="1353" t="str">
        <f>'Standard Vorgaben'!$B$155</f>
        <v>Obstbautraktor 4-Rad</v>
      </c>
      <c r="Q51" s="1144"/>
      <c r="R51" s="413">
        <f>'Standard Erstellung'!D116</f>
        <v>0</v>
      </c>
      <c r="S51" s="61">
        <f>'Standard Vorgaben'!$D$155</f>
        <v>41</v>
      </c>
      <c r="T51" s="116">
        <f>R51*S51</f>
        <v>0</v>
      </c>
      <c r="U51" s="42">
        <f t="shared" si="19"/>
        <v>0</v>
      </c>
      <c r="V51" s="153"/>
      <c r="W51" s="104"/>
      <c r="X51" s="45"/>
      <c r="Y51" s="413"/>
      <c r="Z51" s="61"/>
      <c r="AA51" s="116"/>
      <c r="AB51" s="42"/>
      <c r="AC51" s="153"/>
      <c r="AD51" s="104"/>
      <c r="AE51" s="45"/>
      <c r="AF51" s="413"/>
      <c r="AG51" s="61"/>
      <c r="AH51" s="116"/>
      <c r="AI51" s="42"/>
      <c r="AJ51" s="153"/>
      <c r="AK51" s="62"/>
      <c r="AL51" s="45"/>
      <c r="AM51" s="413"/>
      <c r="AN51" s="61"/>
      <c r="AO51" s="116"/>
      <c r="AP51" s="42"/>
      <c r="AQ51" s="153"/>
      <c r="AR51" s="104"/>
      <c r="AS51" s="45"/>
      <c r="AT51" s="413"/>
      <c r="AU51" s="61"/>
      <c r="AV51" s="116"/>
      <c r="AW51" s="42"/>
      <c r="AX51" s="153"/>
      <c r="AY51" s="62"/>
      <c r="AZ51" s="45"/>
      <c r="BA51" s="413"/>
      <c r="BB51" s="61"/>
      <c r="BC51" s="116"/>
      <c r="BD51" s="42"/>
      <c r="BE51" s="153"/>
      <c r="BF51" s="62"/>
      <c r="BG51" s="45"/>
      <c r="BH51" s="413"/>
      <c r="BI51" s="61"/>
      <c r="BJ51" s="116"/>
      <c r="BK51" s="42"/>
      <c r="BL51" s="1352" t="s">
        <v>530</v>
      </c>
      <c r="BM51" s="1353" t="str">
        <f>'Standard Vorgaben'!$B$155</f>
        <v>Obstbautraktor 4-Rad</v>
      </c>
      <c r="BN51" s="45"/>
      <c r="BO51" s="413">
        <f>'Standard Erstellung'!D176</f>
        <v>0</v>
      </c>
      <c r="BP51" s="61">
        <f>'Standard Vorgaben'!$D$155</f>
        <v>41</v>
      </c>
      <c r="BQ51" s="116">
        <f>BO51*BP51</f>
        <v>0</v>
      </c>
      <c r="BR51" s="42">
        <f t="shared" si="26"/>
        <v>0</v>
      </c>
      <c r="BS51" s="153"/>
      <c r="BT51" s="104"/>
      <c r="BU51" s="45"/>
      <c r="BV51" s="413"/>
      <c r="BW51" s="61"/>
      <c r="BX51" s="116"/>
      <c r="BY51" s="42"/>
      <c r="BZ51" s="153"/>
      <c r="CA51" s="62"/>
      <c r="CB51" s="45"/>
      <c r="CC51" s="413"/>
      <c r="CD51" s="61"/>
      <c r="CE51" s="116"/>
      <c r="CF51" s="42"/>
      <c r="CG51" s="153"/>
      <c r="CH51" s="104"/>
      <c r="CI51" s="45"/>
      <c r="CJ51" s="413"/>
      <c r="CK51" s="61"/>
      <c r="CL51" s="116"/>
      <c r="CM51" s="42"/>
      <c r="CN51" s="153"/>
      <c r="CO51" s="62"/>
      <c r="CP51" s="45"/>
      <c r="CQ51" s="413"/>
      <c r="CR51" s="61"/>
      <c r="CS51" s="116"/>
      <c r="CT51" s="42"/>
      <c r="CU51" s="153"/>
      <c r="CV51" s="62"/>
      <c r="CW51" s="45"/>
      <c r="CX51" s="413"/>
      <c r="CY51" s="61"/>
      <c r="CZ51" s="116"/>
      <c r="DA51" s="42"/>
      <c r="DB51" s="153"/>
      <c r="DC51" s="62"/>
      <c r="DD51" s="45"/>
      <c r="DE51" s="413"/>
      <c r="DF51" s="61"/>
      <c r="DG51" s="116"/>
      <c r="DH51" s="42"/>
    </row>
    <row r="52" spans="1:112" x14ac:dyDescent="0.2">
      <c r="A52" s="1394" t="s">
        <v>511</v>
      </c>
      <c r="B52" s="20" t="str">
        <f>'Standard Vorgaben'!$B$155</f>
        <v>Obstbautraktor 4-Rad</v>
      </c>
      <c r="C52" s="45">
        <f>'Standard Vorgaben'!$C$195</f>
        <v>0</v>
      </c>
      <c r="D52" s="413">
        <v>0</v>
      </c>
      <c r="E52" s="61">
        <f>'Standard Vorgaben'!$D$155</f>
        <v>41</v>
      </c>
      <c r="F52" s="116">
        <f>C52*D52*E52</f>
        <v>0</v>
      </c>
      <c r="G52" s="42">
        <f>F52/$F$73</f>
        <v>0</v>
      </c>
      <c r="H52" s="1394" t="s">
        <v>511</v>
      </c>
      <c r="I52" s="20" t="str">
        <f>'Standard Vorgaben'!$B$155</f>
        <v>Obstbautraktor 4-Rad</v>
      </c>
      <c r="J52" s="45">
        <f>'Standard Vorgaben'!$C$195</f>
        <v>0</v>
      </c>
      <c r="K52" s="413">
        <v>0</v>
      </c>
      <c r="L52" s="61">
        <f>'Standard Vorgaben'!$D$155</f>
        <v>41</v>
      </c>
      <c r="M52" s="116">
        <f>J52*K52*L52</f>
        <v>0</v>
      </c>
      <c r="N52" s="42">
        <f t="shared" ref="N52:N53" si="33">M52/$M$73</f>
        <v>0</v>
      </c>
      <c r="O52" s="1394" t="s">
        <v>511</v>
      </c>
      <c r="P52" s="20" t="str">
        <f>'Standard Vorgaben'!$B$155</f>
        <v>Obstbautraktor 4-Rad</v>
      </c>
      <c r="Q52" s="45">
        <f>'Standard Vorgaben'!$C$195</f>
        <v>0</v>
      </c>
      <c r="R52" s="1218">
        <v>10</v>
      </c>
      <c r="S52" s="61">
        <f>'Standard Vorgaben'!$D$155</f>
        <v>41</v>
      </c>
      <c r="T52" s="116">
        <f>Q52*R52*S52</f>
        <v>0</v>
      </c>
      <c r="U52" s="42">
        <f t="shared" ref="U52:U53" si="34">T52/$T$73</f>
        <v>0</v>
      </c>
      <c r="V52" s="1394" t="s">
        <v>511</v>
      </c>
      <c r="W52" s="20" t="str">
        <f>'Standard Vorgaben'!$B$155</f>
        <v>Obstbautraktor 4-Rad</v>
      </c>
      <c r="X52" s="45">
        <f>'Standard Vorgaben'!$C$195</f>
        <v>0</v>
      </c>
      <c r="Y52" s="1218">
        <v>10</v>
      </c>
      <c r="Z52" s="61">
        <f>'Standard Vorgaben'!$D$155</f>
        <v>41</v>
      </c>
      <c r="AA52" s="116">
        <f>X52*Y52*Z52</f>
        <v>0</v>
      </c>
      <c r="AB52" s="42">
        <f t="shared" ref="AB52:AB53" si="35">AA52/$AA$73</f>
        <v>0</v>
      </c>
      <c r="AC52" s="1394" t="s">
        <v>511</v>
      </c>
      <c r="AD52" s="20" t="str">
        <f>'Standard Vorgaben'!$B$155</f>
        <v>Obstbautraktor 4-Rad</v>
      </c>
      <c r="AE52" s="45">
        <f>'Standard Vorgaben'!$C$195</f>
        <v>0</v>
      </c>
      <c r="AF52" s="1218">
        <v>10</v>
      </c>
      <c r="AG52" s="61">
        <f>'Standard Vorgaben'!$D$155</f>
        <v>41</v>
      </c>
      <c r="AH52" s="116">
        <f>AE52*AF52*AG52</f>
        <v>0</v>
      </c>
      <c r="AI52" s="42">
        <f>AH52/$AH$73</f>
        <v>0</v>
      </c>
      <c r="AJ52" s="1394" t="s">
        <v>511</v>
      </c>
      <c r="AK52" s="20" t="str">
        <f>'Standard Vorgaben'!$B$155</f>
        <v>Obstbautraktor 4-Rad</v>
      </c>
      <c r="AL52" s="45">
        <f>'Standard Vorgaben'!$C$195</f>
        <v>0</v>
      </c>
      <c r="AM52" s="1218">
        <v>10</v>
      </c>
      <c r="AN52" s="61">
        <f>'Standard Vorgaben'!$D$155</f>
        <v>41</v>
      </c>
      <c r="AO52" s="116">
        <f>AL52*AM52*AN52</f>
        <v>0</v>
      </c>
      <c r="AP52" s="42">
        <f t="shared" ref="AP52:AP53" si="36">AO52/$AO$73</f>
        <v>0</v>
      </c>
      <c r="AQ52" s="1394" t="s">
        <v>511</v>
      </c>
      <c r="AR52" s="20" t="str">
        <f>'Standard Vorgaben'!$B$155</f>
        <v>Obstbautraktor 4-Rad</v>
      </c>
      <c r="AS52" s="45">
        <f>'Standard Vorgaben'!$C$195</f>
        <v>0</v>
      </c>
      <c r="AT52" s="1218">
        <v>10</v>
      </c>
      <c r="AU52" s="61">
        <f>'Standard Vorgaben'!$D$155</f>
        <v>41</v>
      </c>
      <c r="AV52" s="116">
        <f>AS52*AT52*AU52</f>
        <v>0</v>
      </c>
      <c r="AW52" s="42">
        <f t="shared" ref="AW52:AW53" si="37">AV52/$AV$73</f>
        <v>0</v>
      </c>
      <c r="AX52" s="1394" t="s">
        <v>511</v>
      </c>
      <c r="AY52" s="20" t="str">
        <f>'Standard Vorgaben'!$B$155</f>
        <v>Obstbautraktor 4-Rad</v>
      </c>
      <c r="AZ52" s="45">
        <f>'Standard Vorgaben'!$C$195</f>
        <v>0</v>
      </c>
      <c r="BA52" s="1218">
        <v>10</v>
      </c>
      <c r="BB52" s="61">
        <f>'Standard Vorgaben'!$D$155</f>
        <v>41</v>
      </c>
      <c r="BC52" s="116">
        <f>AZ52*BA52*BB52</f>
        <v>0</v>
      </c>
      <c r="BD52" s="42">
        <f t="shared" ref="BD52:BD53" si="38">BC52/$BC$73</f>
        <v>0</v>
      </c>
      <c r="BE52" s="1394" t="s">
        <v>511</v>
      </c>
      <c r="BF52" s="20" t="str">
        <f>'Standard Vorgaben'!$B$155</f>
        <v>Obstbautraktor 4-Rad</v>
      </c>
      <c r="BG52" s="45">
        <f>'Standard Vorgaben'!$C$195</f>
        <v>0</v>
      </c>
      <c r="BH52" s="1218">
        <v>10</v>
      </c>
      <c r="BI52" s="61">
        <f>'Standard Vorgaben'!$D$155</f>
        <v>41</v>
      </c>
      <c r="BJ52" s="116">
        <f>BG52*BH52*BI52</f>
        <v>0</v>
      </c>
      <c r="BK52" s="42">
        <f t="shared" ref="BK52:BK53" si="39">BJ52/$BJ$73</f>
        <v>0</v>
      </c>
      <c r="BL52" s="1394" t="s">
        <v>511</v>
      </c>
      <c r="BM52" s="20" t="str">
        <f>'Standard Vorgaben'!$B$155</f>
        <v>Obstbautraktor 4-Rad</v>
      </c>
      <c r="BN52" s="45">
        <f>'Standard Vorgaben'!$C$195</f>
        <v>0</v>
      </c>
      <c r="BO52" s="1218">
        <v>10</v>
      </c>
      <c r="BP52" s="61">
        <f>'Standard Vorgaben'!$D$155</f>
        <v>41</v>
      </c>
      <c r="BQ52" s="116">
        <f>BN52*BO52*BP52</f>
        <v>0</v>
      </c>
      <c r="BR52" s="42">
        <f t="shared" ref="BR52:BR53" si="40">BQ52/$BQ$73</f>
        <v>0</v>
      </c>
      <c r="BS52" s="1394" t="s">
        <v>511</v>
      </c>
      <c r="BT52" s="20" t="str">
        <f>'Standard Vorgaben'!$B$155</f>
        <v>Obstbautraktor 4-Rad</v>
      </c>
      <c r="BU52" s="45">
        <f>'Standard Vorgaben'!$C$195</f>
        <v>0</v>
      </c>
      <c r="BV52" s="1218">
        <v>10</v>
      </c>
      <c r="BW52" s="61">
        <f>'Standard Vorgaben'!$D$155</f>
        <v>41</v>
      </c>
      <c r="BX52" s="116">
        <f>BU52*BV52*BW52</f>
        <v>0</v>
      </c>
      <c r="BY52" s="42">
        <f>BX52/$BX$73</f>
        <v>0</v>
      </c>
      <c r="BZ52" s="1394" t="s">
        <v>511</v>
      </c>
      <c r="CA52" s="20" t="str">
        <f>'Standard Vorgaben'!$B$155</f>
        <v>Obstbautraktor 4-Rad</v>
      </c>
      <c r="CB52" s="45">
        <f>'Standard Vorgaben'!$C$195</f>
        <v>0</v>
      </c>
      <c r="CC52" s="1218">
        <v>10</v>
      </c>
      <c r="CD52" s="61">
        <f>'Standard Vorgaben'!$D$155</f>
        <v>41</v>
      </c>
      <c r="CE52" s="116">
        <f>CB52*CC52*CD52</f>
        <v>0</v>
      </c>
      <c r="CF52" s="42">
        <f t="shared" ref="CF52:CF53" si="41">CE52/$CE$73</f>
        <v>0</v>
      </c>
      <c r="CG52" s="1394" t="s">
        <v>511</v>
      </c>
      <c r="CH52" s="20" t="str">
        <f>'Standard Vorgaben'!$B$155</f>
        <v>Obstbautraktor 4-Rad</v>
      </c>
      <c r="CI52" s="45">
        <f>'Standard Vorgaben'!$C$195</f>
        <v>0</v>
      </c>
      <c r="CJ52" s="1218">
        <v>10</v>
      </c>
      <c r="CK52" s="61">
        <f>'Standard Vorgaben'!$D$155</f>
        <v>41</v>
      </c>
      <c r="CL52" s="116">
        <f>CI52*CJ52*CK52</f>
        <v>0</v>
      </c>
      <c r="CM52" s="42">
        <f t="shared" ref="CM52:CM53" si="42">CL52/$CL$73</f>
        <v>0</v>
      </c>
      <c r="CN52" s="1394" t="s">
        <v>511</v>
      </c>
      <c r="CO52" s="20" t="str">
        <f>'Standard Vorgaben'!$B$155</f>
        <v>Obstbautraktor 4-Rad</v>
      </c>
      <c r="CP52" s="45">
        <f>'Standard Vorgaben'!$C$195</f>
        <v>0</v>
      </c>
      <c r="CQ52" s="1218">
        <v>10</v>
      </c>
      <c r="CR52" s="61">
        <f>'Standard Vorgaben'!$D$155</f>
        <v>41</v>
      </c>
      <c r="CS52" s="116">
        <f>CP52*CQ52*CR52</f>
        <v>0</v>
      </c>
      <c r="CT52" s="42">
        <f t="shared" ref="CT52:CT53" si="43">CS52/$CS$73</f>
        <v>0</v>
      </c>
      <c r="CU52" s="1394" t="s">
        <v>511</v>
      </c>
      <c r="CV52" s="20" t="str">
        <f>'Standard Vorgaben'!$B$155</f>
        <v>Obstbautraktor 4-Rad</v>
      </c>
      <c r="CW52" s="45">
        <f>'Standard Vorgaben'!$C$195</f>
        <v>0</v>
      </c>
      <c r="CX52" s="1218">
        <v>10</v>
      </c>
      <c r="CY52" s="61">
        <f>'Standard Vorgaben'!$D$155</f>
        <v>41</v>
      </c>
      <c r="CZ52" s="116">
        <f>CW52*CX52*CY52</f>
        <v>0</v>
      </c>
      <c r="DA52" s="42">
        <f>CZ52/$CZ$73</f>
        <v>0</v>
      </c>
      <c r="DB52" s="1394" t="s">
        <v>511</v>
      </c>
      <c r="DC52" s="20" t="str">
        <f>'Standard Vorgaben'!$B$155</f>
        <v>Obstbautraktor 4-Rad</v>
      </c>
      <c r="DD52" s="45">
        <f>'Standard Vorgaben'!$C$195</f>
        <v>0</v>
      </c>
      <c r="DE52" s="1218">
        <v>10</v>
      </c>
      <c r="DF52" s="61">
        <f>'Standard Vorgaben'!$D$155</f>
        <v>41</v>
      </c>
      <c r="DG52" s="116">
        <f>DD52*DE52*DF52</f>
        <v>0</v>
      </c>
      <c r="DH52" s="42">
        <f t="shared" ref="DH52:DH53" si="44">DG52/$DG$73</f>
        <v>0</v>
      </c>
    </row>
    <row r="53" spans="1:112" x14ac:dyDescent="0.2">
      <c r="A53" s="1394"/>
      <c r="B53" s="20" t="str">
        <f>'Standard Vorgaben'!$B$168</f>
        <v>Hebebühne schwer, selbstfahrend, elektrisch</v>
      </c>
      <c r="C53" s="45">
        <f>'Standard Vorgaben'!$C$195</f>
        <v>0</v>
      </c>
      <c r="D53" s="413">
        <v>0</v>
      </c>
      <c r="E53" s="61">
        <f>'Standard Vorgaben'!$D$168</f>
        <v>17.5</v>
      </c>
      <c r="F53" s="116">
        <f>C53*D53*E53</f>
        <v>0</v>
      </c>
      <c r="G53" s="42">
        <f>F53/$F$73</f>
        <v>0</v>
      </c>
      <c r="H53" s="1394"/>
      <c r="I53" s="20" t="str">
        <f>'Standard Vorgaben'!$B$168</f>
        <v>Hebebühne schwer, selbstfahrend, elektrisch</v>
      </c>
      <c r="J53" s="45">
        <f>'Standard Vorgaben'!$C$195</f>
        <v>0</v>
      </c>
      <c r="K53" s="413">
        <v>0</v>
      </c>
      <c r="L53" s="61">
        <f>'Standard Vorgaben'!$D$168</f>
        <v>17.5</v>
      </c>
      <c r="M53" s="116">
        <f>J53*K53*L53</f>
        <v>0</v>
      </c>
      <c r="N53" s="42">
        <f t="shared" si="33"/>
        <v>0</v>
      </c>
      <c r="O53" s="1394"/>
      <c r="P53" s="20" t="str">
        <f>'Standard Vorgaben'!$B$168</f>
        <v>Hebebühne schwer, selbstfahrend, elektrisch</v>
      </c>
      <c r="Q53" s="45">
        <f>'Standard Vorgaben'!$C$195</f>
        <v>0</v>
      </c>
      <c r="R53" s="1218">
        <v>10</v>
      </c>
      <c r="S53" s="61">
        <f>'Standard Vorgaben'!$D$168</f>
        <v>17.5</v>
      </c>
      <c r="T53" s="116">
        <f>Q53*R53*S53</f>
        <v>0</v>
      </c>
      <c r="U53" s="42">
        <f t="shared" si="34"/>
        <v>0</v>
      </c>
      <c r="V53" s="1394"/>
      <c r="W53" s="20" t="str">
        <f>'Standard Vorgaben'!$B$168</f>
        <v>Hebebühne schwer, selbstfahrend, elektrisch</v>
      </c>
      <c r="X53" s="45">
        <f>'Standard Vorgaben'!$C$195</f>
        <v>0</v>
      </c>
      <c r="Y53" s="1218">
        <v>10</v>
      </c>
      <c r="Z53" s="61">
        <f>'Standard Vorgaben'!$D$168</f>
        <v>17.5</v>
      </c>
      <c r="AA53" s="116">
        <f>X53*Y53*Z53</f>
        <v>0</v>
      </c>
      <c r="AB53" s="42">
        <f t="shared" si="35"/>
        <v>0</v>
      </c>
      <c r="AC53" s="1394"/>
      <c r="AD53" s="20" t="str">
        <f>'Standard Vorgaben'!$B$168</f>
        <v>Hebebühne schwer, selbstfahrend, elektrisch</v>
      </c>
      <c r="AE53" s="45">
        <f>'Standard Vorgaben'!$C$195</f>
        <v>0</v>
      </c>
      <c r="AF53" s="1218">
        <v>10</v>
      </c>
      <c r="AG53" s="61">
        <f>'Standard Vorgaben'!$D$168</f>
        <v>17.5</v>
      </c>
      <c r="AH53" s="116">
        <f>AE53*AF53*AG53</f>
        <v>0</v>
      </c>
      <c r="AI53" s="42">
        <f>AH53/$AH$73</f>
        <v>0</v>
      </c>
      <c r="AJ53" s="1394"/>
      <c r="AK53" s="20" t="str">
        <f>'Standard Vorgaben'!$B$168</f>
        <v>Hebebühne schwer, selbstfahrend, elektrisch</v>
      </c>
      <c r="AL53" s="45">
        <f>'Standard Vorgaben'!$C$195</f>
        <v>0</v>
      </c>
      <c r="AM53" s="1218">
        <v>10</v>
      </c>
      <c r="AN53" s="61">
        <f>'Standard Vorgaben'!$D$168</f>
        <v>17.5</v>
      </c>
      <c r="AO53" s="116">
        <f>AL53*AM53*AN53</f>
        <v>0</v>
      </c>
      <c r="AP53" s="42">
        <f t="shared" si="36"/>
        <v>0</v>
      </c>
      <c r="AQ53" s="1394"/>
      <c r="AR53" s="20" t="str">
        <f>'Standard Vorgaben'!$B$168</f>
        <v>Hebebühne schwer, selbstfahrend, elektrisch</v>
      </c>
      <c r="AS53" s="45">
        <f>'Standard Vorgaben'!$C$195</f>
        <v>0</v>
      </c>
      <c r="AT53" s="1218">
        <v>10</v>
      </c>
      <c r="AU53" s="61">
        <f>'Standard Vorgaben'!$D$168</f>
        <v>17.5</v>
      </c>
      <c r="AV53" s="116">
        <f>AS53*AT53*AU53</f>
        <v>0</v>
      </c>
      <c r="AW53" s="42">
        <f t="shared" si="37"/>
        <v>0</v>
      </c>
      <c r="AX53" s="1394"/>
      <c r="AY53" s="20" t="str">
        <f>'Standard Vorgaben'!$B$168</f>
        <v>Hebebühne schwer, selbstfahrend, elektrisch</v>
      </c>
      <c r="AZ53" s="45">
        <f>'Standard Vorgaben'!$C$195</f>
        <v>0</v>
      </c>
      <c r="BA53" s="1218">
        <v>10</v>
      </c>
      <c r="BB53" s="61">
        <f>'Standard Vorgaben'!$D$168</f>
        <v>17.5</v>
      </c>
      <c r="BC53" s="116">
        <f>AZ53*BA53*BB53</f>
        <v>0</v>
      </c>
      <c r="BD53" s="42">
        <f t="shared" si="38"/>
        <v>0</v>
      </c>
      <c r="BE53" s="1394"/>
      <c r="BF53" s="20" t="str">
        <f>'Standard Vorgaben'!$B$168</f>
        <v>Hebebühne schwer, selbstfahrend, elektrisch</v>
      </c>
      <c r="BG53" s="45">
        <f>'Standard Vorgaben'!$C$195</f>
        <v>0</v>
      </c>
      <c r="BH53" s="1218">
        <v>10</v>
      </c>
      <c r="BI53" s="61">
        <f>'Standard Vorgaben'!$D$168</f>
        <v>17.5</v>
      </c>
      <c r="BJ53" s="116">
        <f>BG53*BH53*BI53</f>
        <v>0</v>
      </c>
      <c r="BK53" s="42">
        <f t="shared" si="39"/>
        <v>0</v>
      </c>
      <c r="BL53" s="1394"/>
      <c r="BM53" s="20" t="str">
        <f>'Standard Vorgaben'!$B$168</f>
        <v>Hebebühne schwer, selbstfahrend, elektrisch</v>
      </c>
      <c r="BN53" s="45">
        <f>'Standard Vorgaben'!$C$195</f>
        <v>0</v>
      </c>
      <c r="BO53" s="1218">
        <v>10</v>
      </c>
      <c r="BP53" s="61">
        <f>'Standard Vorgaben'!$D$168</f>
        <v>17.5</v>
      </c>
      <c r="BQ53" s="116">
        <f>BN53*BO53*BP53</f>
        <v>0</v>
      </c>
      <c r="BR53" s="42">
        <f t="shared" si="40"/>
        <v>0</v>
      </c>
      <c r="BS53" s="1394"/>
      <c r="BT53" s="20" t="str">
        <f>'Standard Vorgaben'!$B$168</f>
        <v>Hebebühne schwer, selbstfahrend, elektrisch</v>
      </c>
      <c r="BU53" s="45">
        <f>'Standard Vorgaben'!$C$195</f>
        <v>0</v>
      </c>
      <c r="BV53" s="1218">
        <v>10</v>
      </c>
      <c r="BW53" s="61">
        <f>'Standard Vorgaben'!$D$168</f>
        <v>17.5</v>
      </c>
      <c r="BX53" s="116">
        <f>BU53*BV53*BW53</f>
        <v>0</v>
      </c>
      <c r="BY53" s="42">
        <f>BX53/$BX$73</f>
        <v>0</v>
      </c>
      <c r="BZ53" s="1394"/>
      <c r="CA53" s="20" t="str">
        <f>'Standard Vorgaben'!$B$168</f>
        <v>Hebebühne schwer, selbstfahrend, elektrisch</v>
      </c>
      <c r="CB53" s="45">
        <f>'Standard Vorgaben'!$C$195</f>
        <v>0</v>
      </c>
      <c r="CC53" s="1218">
        <v>10</v>
      </c>
      <c r="CD53" s="61">
        <f>'Standard Vorgaben'!$D$168</f>
        <v>17.5</v>
      </c>
      <c r="CE53" s="116">
        <f>CB53*CC53*CD53</f>
        <v>0</v>
      </c>
      <c r="CF53" s="42">
        <f t="shared" si="41"/>
        <v>0</v>
      </c>
      <c r="CG53" s="1394"/>
      <c r="CH53" s="20" t="str">
        <f>'Standard Vorgaben'!$B$168</f>
        <v>Hebebühne schwer, selbstfahrend, elektrisch</v>
      </c>
      <c r="CI53" s="45">
        <f>'Standard Vorgaben'!$C$195</f>
        <v>0</v>
      </c>
      <c r="CJ53" s="1218">
        <v>10</v>
      </c>
      <c r="CK53" s="61">
        <f>'Standard Vorgaben'!$D$168</f>
        <v>17.5</v>
      </c>
      <c r="CL53" s="116">
        <f>CI53*CJ53*CK53</f>
        <v>0</v>
      </c>
      <c r="CM53" s="42">
        <f t="shared" si="42"/>
        <v>0</v>
      </c>
      <c r="CN53" s="1394"/>
      <c r="CO53" s="20" t="str">
        <f>'Standard Vorgaben'!$B$168</f>
        <v>Hebebühne schwer, selbstfahrend, elektrisch</v>
      </c>
      <c r="CP53" s="45">
        <f>'Standard Vorgaben'!$C$195</f>
        <v>0</v>
      </c>
      <c r="CQ53" s="1218">
        <v>10</v>
      </c>
      <c r="CR53" s="61">
        <f>'Standard Vorgaben'!$D$168</f>
        <v>17.5</v>
      </c>
      <c r="CS53" s="116">
        <f>CP53*CQ53*CR53</f>
        <v>0</v>
      </c>
      <c r="CT53" s="42">
        <f t="shared" si="43"/>
        <v>0</v>
      </c>
      <c r="CU53" s="1394"/>
      <c r="CV53" s="20" t="str">
        <f>'Standard Vorgaben'!$B$168</f>
        <v>Hebebühne schwer, selbstfahrend, elektrisch</v>
      </c>
      <c r="CW53" s="45">
        <f>'Standard Vorgaben'!$C$195</f>
        <v>0</v>
      </c>
      <c r="CX53" s="1218">
        <v>10</v>
      </c>
      <c r="CY53" s="61">
        <f>'Standard Vorgaben'!$D$168</f>
        <v>17.5</v>
      </c>
      <c r="CZ53" s="116">
        <f>CW53*CX53*CY53</f>
        <v>0</v>
      </c>
      <c r="DA53" s="42">
        <f>CZ53/$CZ$73</f>
        <v>0</v>
      </c>
      <c r="DB53" s="1394"/>
      <c r="DC53" s="20" t="str">
        <f>'Standard Vorgaben'!$B$168</f>
        <v>Hebebühne schwer, selbstfahrend, elektrisch</v>
      </c>
      <c r="DD53" s="45">
        <f>'Standard Vorgaben'!$C$195</f>
        <v>0</v>
      </c>
      <c r="DE53" s="1218">
        <v>10</v>
      </c>
      <c r="DF53" s="61">
        <f>'Standard Vorgaben'!$D$168</f>
        <v>17.5</v>
      </c>
      <c r="DG53" s="116">
        <f>DD53*DE53*DF53</f>
        <v>0</v>
      </c>
      <c r="DH53" s="42">
        <f t="shared" si="44"/>
        <v>0</v>
      </c>
    </row>
    <row r="54" spans="1:112" ht="13.5" thickBot="1" x14ac:dyDescent="0.25">
      <c r="A54" s="143"/>
      <c r="B54" s="20" t="str">
        <f>'Standard Vorgaben'!$B$169</f>
        <v>Diverse Kleingeräte</v>
      </c>
      <c r="C54" s="45"/>
      <c r="D54" s="45"/>
      <c r="E54" s="61"/>
      <c r="F54" s="607">
        <f>'Standard Vorgaben'!$D$169</f>
        <v>500</v>
      </c>
      <c r="G54" s="42">
        <f>F54/$F$73</f>
        <v>4.1426579397399133E-2</v>
      </c>
      <c r="H54" s="143"/>
      <c r="I54" s="4" t="str">
        <f>'Standard Vorgaben'!$B$169</f>
        <v>Diverse Kleingeräte</v>
      </c>
      <c r="J54" s="45"/>
      <c r="K54" s="45"/>
      <c r="L54" s="61"/>
      <c r="M54" s="607">
        <f>'Standard Vorgaben'!$D$169</f>
        <v>500</v>
      </c>
      <c r="N54" s="42">
        <f>M54/$M$73</f>
        <v>4.0978998851358181E-2</v>
      </c>
      <c r="O54" s="225"/>
      <c r="P54" s="4" t="str">
        <f>'Standard Vorgaben'!$B$169</f>
        <v>Diverse Kleingeräte</v>
      </c>
      <c r="Q54" s="45"/>
      <c r="R54" s="45"/>
      <c r="S54" s="61"/>
      <c r="T54" s="607">
        <f>'Standard Vorgaben'!$D$169</f>
        <v>500</v>
      </c>
      <c r="U54" s="42">
        <f>T54/$T$73</f>
        <v>5.8373073728272508E-3</v>
      </c>
      <c r="V54" s="143"/>
      <c r="W54" s="4" t="str">
        <f>'Standard Vorgaben'!$B$169</f>
        <v>Diverse Kleingeräte</v>
      </c>
      <c r="X54" s="45"/>
      <c r="Y54" s="45"/>
      <c r="Z54" s="61"/>
      <c r="AA54" s="607">
        <f>'Standard Vorgaben'!$D$169</f>
        <v>500</v>
      </c>
      <c r="AB54" s="42">
        <f>AA54/$AA$73</f>
        <v>1.4869065146413714E-2</v>
      </c>
      <c r="AC54" s="143"/>
      <c r="AD54" s="4" t="str">
        <f>'Standard Vorgaben'!$B$169</f>
        <v>Diverse Kleingeräte</v>
      </c>
      <c r="AE54" s="45"/>
      <c r="AF54" s="45"/>
      <c r="AG54" s="61"/>
      <c r="AH54" s="607">
        <f>'Standard Vorgaben'!$D$169</f>
        <v>500</v>
      </c>
      <c r="AI54" s="42">
        <f>AH54/$AH$73</f>
        <v>9.100464283490893E-3</v>
      </c>
      <c r="AJ54" s="143"/>
      <c r="AK54" s="20" t="str">
        <f>'Standard Vorgaben'!$B$169</f>
        <v>Diverse Kleingeräte</v>
      </c>
      <c r="AL54" s="45"/>
      <c r="AM54" s="45"/>
      <c r="AN54" s="61"/>
      <c r="AO54" s="607">
        <f>'Standard Vorgaben'!$D$169</f>
        <v>500</v>
      </c>
      <c r="AP54" s="42">
        <f>AO54/$AO$73</f>
        <v>8.8931878208643438E-3</v>
      </c>
      <c r="AQ54" s="143"/>
      <c r="AR54" s="20" t="str">
        <f>'Standard Vorgaben'!$B$169</f>
        <v>Diverse Kleingeräte</v>
      </c>
      <c r="AS54" s="45"/>
      <c r="AT54" s="45"/>
      <c r="AU54" s="61"/>
      <c r="AV54" s="607">
        <f>'Standard Vorgaben'!$D$169</f>
        <v>500</v>
      </c>
      <c r="AW54" s="42">
        <f>AV54/$AV$73</f>
        <v>9.1632592992172465E-3</v>
      </c>
      <c r="AX54" s="143"/>
      <c r="AY54" s="20" t="str">
        <f>'Standard Vorgaben'!$B$169</f>
        <v>Diverse Kleingeräte</v>
      </c>
      <c r="AZ54" s="45"/>
      <c r="BA54" s="45"/>
      <c r="BB54" s="61"/>
      <c r="BC54" s="607">
        <f>'Standard Vorgaben'!$D$169</f>
        <v>500</v>
      </c>
      <c r="BD54" s="42">
        <f>BC54/$BC$73</f>
        <v>9.1965305816337391E-3</v>
      </c>
      <c r="BE54" s="143"/>
      <c r="BF54" s="20" t="str">
        <f>'Standard Vorgaben'!$B$169</f>
        <v>Diverse Kleingeräte</v>
      </c>
      <c r="BG54" s="45"/>
      <c r="BH54" s="45"/>
      <c r="BI54" s="61"/>
      <c r="BJ54" s="607">
        <f>'Standard Vorgaben'!$D$169</f>
        <v>500</v>
      </c>
      <c r="BK54" s="42">
        <f>BJ54/$BJ$73</f>
        <v>4.9844120613011869E-3</v>
      </c>
      <c r="BL54" s="143"/>
      <c r="BM54" s="20" t="str">
        <f>'Standard Vorgaben'!$B$169</f>
        <v>Diverse Kleingeräte</v>
      </c>
      <c r="BN54" s="45"/>
      <c r="BO54" s="45"/>
      <c r="BP54" s="61"/>
      <c r="BQ54" s="607">
        <f>'Standard Vorgaben'!$D$169</f>
        <v>500</v>
      </c>
      <c r="BR54" s="42">
        <f>BQ54/$BQ$73</f>
        <v>8.4798555519272206E-3</v>
      </c>
      <c r="BS54" s="143"/>
      <c r="BT54" s="4" t="str">
        <f>'Standard Vorgaben'!$B$169</f>
        <v>Diverse Kleingeräte</v>
      </c>
      <c r="BU54" s="45"/>
      <c r="BV54" s="45"/>
      <c r="BW54" s="61"/>
      <c r="BX54" s="607">
        <f>'Standard Vorgaben'!$D$169</f>
        <v>500</v>
      </c>
      <c r="BY54" s="42">
        <f>BX54/$BX$73</f>
        <v>9.2207323167394981E-3</v>
      </c>
      <c r="BZ54" s="143"/>
      <c r="CA54" s="20" t="str">
        <f>'Standard Vorgaben'!$B$169</f>
        <v>Diverse Kleingeräte</v>
      </c>
      <c r="CB54" s="45"/>
      <c r="CC54" s="45"/>
      <c r="CD54" s="61"/>
      <c r="CE54" s="607">
        <f>'Standard Vorgaben'!$D$169</f>
        <v>500</v>
      </c>
      <c r="CF54" s="42">
        <f>CE54/$CE$73</f>
        <v>9.0090519406477165E-3</v>
      </c>
      <c r="CG54" s="143"/>
      <c r="CH54" s="4" t="str">
        <f>'Standard Vorgaben'!$B$169</f>
        <v>Diverse Kleingeräte</v>
      </c>
      <c r="CI54" s="45"/>
      <c r="CJ54" s="45"/>
      <c r="CK54" s="61"/>
      <c r="CL54" s="607">
        <f>'Standard Vorgaben'!$D$169</f>
        <v>500</v>
      </c>
      <c r="CM54" s="42">
        <f>CL54/$CL$73</f>
        <v>9.2874386867419986E-3</v>
      </c>
      <c r="CN54" s="143"/>
      <c r="CO54" s="20" t="str">
        <f>'Standard Vorgaben'!$B$169</f>
        <v>Diverse Kleingeräte</v>
      </c>
      <c r="CP54" s="45"/>
      <c r="CQ54" s="45"/>
      <c r="CR54" s="61"/>
      <c r="CS54" s="607">
        <f>'Standard Vorgaben'!$D$169</f>
        <v>500</v>
      </c>
      <c r="CT54" s="42">
        <f>CS54/$CS$73</f>
        <v>9.3227607914649017E-3</v>
      </c>
      <c r="CU54" s="143"/>
      <c r="CV54" s="20" t="str">
        <f>'Standard Vorgaben'!$B$169</f>
        <v>Diverse Kleingeräte</v>
      </c>
      <c r="CW54" s="45"/>
      <c r="CX54" s="45"/>
      <c r="CY54" s="61"/>
      <c r="CZ54" s="607">
        <f>'Standard Vorgaben'!$D$169</f>
        <v>500</v>
      </c>
      <c r="DA54" s="42">
        <f>CZ54/$CZ$73</f>
        <v>9.1073108309559017E-3</v>
      </c>
      <c r="DB54" s="143"/>
      <c r="DC54" s="20" t="str">
        <f>'Standard Vorgaben'!$B$169</f>
        <v>Diverse Kleingeräte</v>
      </c>
      <c r="DD54" s="45"/>
      <c r="DE54" s="45"/>
      <c r="DF54" s="61"/>
      <c r="DG54" s="607">
        <f>'Standard Vorgaben'!$D$169</f>
        <v>500</v>
      </c>
      <c r="DH54" s="42">
        <f>DG54/$DG$73</f>
        <v>8.4413859161596837E-3</v>
      </c>
    </row>
    <row r="55" spans="1:112" x14ac:dyDescent="0.2">
      <c r="A55" s="106"/>
      <c r="C55" s="45"/>
      <c r="D55" s="45"/>
      <c r="E55" s="61"/>
      <c r="F55" s="79">
        <f>SUM(F48:F54)</f>
        <v>2451.3000000000002</v>
      </c>
      <c r="G55" s="611">
        <f>F55/$F$73</f>
        <v>0.20309794815368901</v>
      </c>
      <c r="H55" s="106"/>
      <c r="I55" s="4"/>
      <c r="J55" s="45"/>
      <c r="K55" s="45"/>
      <c r="L55" s="61"/>
      <c r="M55" s="79">
        <f>SUM(M48:M54)</f>
        <v>2451.3000000000002</v>
      </c>
      <c r="N55" s="611">
        <f>M55/$M$73</f>
        <v>0.20090363976866862</v>
      </c>
      <c r="O55" s="695"/>
      <c r="P55" s="4"/>
      <c r="Q55" s="45"/>
      <c r="R55" s="45"/>
      <c r="S55" s="61"/>
      <c r="T55" s="79">
        <f>SUM(T48:T54)</f>
        <v>9064.4730769230773</v>
      </c>
      <c r="U55" s="611">
        <f>T55/$T$73</f>
        <v>0.1058242310454344</v>
      </c>
      <c r="V55" s="106"/>
      <c r="W55" s="4"/>
      <c r="X55" s="45"/>
      <c r="Y55" s="45"/>
      <c r="Z55" s="61"/>
      <c r="AA55" s="79">
        <f>SUM(AA48:AA54)</f>
        <v>7252.6461538461554</v>
      </c>
      <c r="AB55" s="611">
        <f>AA55/$AA$73</f>
        <v>0.21568013629085067</v>
      </c>
      <c r="AC55" s="106"/>
      <c r="AD55" s="4"/>
      <c r="AE55" s="45"/>
      <c r="AF55" s="45"/>
      <c r="AG55" s="61"/>
      <c r="AH55" s="79">
        <f>SUM(AH48:AH54)</f>
        <v>10554.069230769233</v>
      </c>
      <c r="AI55" s="611">
        <f>AH55/$AH$73</f>
        <v>0.19209386016021124</v>
      </c>
      <c r="AJ55" s="106"/>
      <c r="AK55" s="20"/>
      <c r="AL55" s="45"/>
      <c r="AM55" s="45"/>
      <c r="AN55" s="61"/>
      <c r="AO55" s="79">
        <f>SUM(AO48:AO54)</f>
        <v>11689.684615384616</v>
      </c>
      <c r="AP55" s="611">
        <f>AO55/$AO$73</f>
        <v>0.20791712170256751</v>
      </c>
      <c r="AQ55" s="106"/>
      <c r="AR55" s="20"/>
      <c r="AS55" s="45"/>
      <c r="AT55" s="45"/>
      <c r="AU55" s="61"/>
      <c r="AV55" s="79">
        <f>SUM(AV48:AV54)</f>
        <v>10554.069230769233</v>
      </c>
      <c r="AW55" s="611">
        <f>AV55/$AV$73</f>
        <v>0.19341934604685757</v>
      </c>
      <c r="AX55" s="106"/>
      <c r="AY55" s="20"/>
      <c r="AZ55" s="45"/>
      <c r="BA55" s="45"/>
      <c r="BB55" s="61"/>
      <c r="BC55" s="79">
        <f>SUM(BC48:BC54)</f>
        <v>10554.069230769233</v>
      </c>
      <c r="BD55" s="611">
        <f>BC55/$BC$73</f>
        <v>0.19412164088289785</v>
      </c>
      <c r="BE55" s="106"/>
      <c r="BF55" s="20"/>
      <c r="BG55" s="45"/>
      <c r="BH55" s="45"/>
      <c r="BI55" s="61"/>
      <c r="BJ55" s="79">
        <f>SUM(BJ48:BJ54)</f>
        <v>12099.684615384616</v>
      </c>
      <c r="BK55" s="611">
        <f>BJ55/$BJ$73</f>
        <v>0.12061962786972699</v>
      </c>
      <c r="BL55" s="106"/>
      <c r="BM55" s="20"/>
      <c r="BN55" s="45"/>
      <c r="BO55" s="45"/>
      <c r="BP55" s="61"/>
      <c r="BQ55" s="79">
        <f>SUM(BQ48:BQ54)</f>
        <v>10759.069230769233</v>
      </c>
      <c r="BR55" s="611">
        <f>BQ55/$BQ$73</f>
        <v>0.18247070590021564</v>
      </c>
      <c r="BS55" s="106"/>
      <c r="BT55" s="4"/>
      <c r="BU55" s="45"/>
      <c r="BV55" s="45"/>
      <c r="BW55" s="61"/>
      <c r="BX55" s="79">
        <f>SUM(BX48:BX54)</f>
        <v>10554.069230769233</v>
      </c>
      <c r="BY55" s="611">
        <f>BX55/$BX$73</f>
        <v>0.19463249445851968</v>
      </c>
      <c r="BZ55" s="106"/>
      <c r="CA55" s="20"/>
      <c r="CB55" s="45"/>
      <c r="CC55" s="45"/>
      <c r="CD55" s="61"/>
      <c r="CE55" s="79">
        <f>SUM(CE48:CE54)</f>
        <v>11689.684615384616</v>
      </c>
      <c r="CF55" s="611">
        <f>CE55/$CE$73</f>
        <v>0.21062595173958107</v>
      </c>
      <c r="CG55" s="106"/>
      <c r="CH55" s="20"/>
      <c r="CI55" s="45"/>
      <c r="CJ55" s="45"/>
      <c r="CK55" s="61"/>
      <c r="CL55" s="79">
        <f>SUM(CL48:CL54)</f>
        <v>10554.069230769233</v>
      </c>
      <c r="CM55" s="611">
        <f>CL55/$CL$73</f>
        <v>0.19604054175279911</v>
      </c>
      <c r="CN55" s="106"/>
      <c r="CO55" s="20"/>
      <c r="CP55" s="45"/>
      <c r="CQ55" s="45"/>
      <c r="CR55" s="61"/>
      <c r="CS55" s="79">
        <f>SUM(CS48:CS54)</f>
        <v>10554.069230769233</v>
      </c>
      <c r="CT55" s="611">
        <f>CS55/$CS$73</f>
        <v>0.19678612563004308</v>
      </c>
      <c r="CU55" s="106"/>
      <c r="CV55" s="20"/>
      <c r="CW55" s="45"/>
      <c r="CX55" s="45"/>
      <c r="CY55" s="61"/>
      <c r="CZ55" s="79">
        <f>SUM(CZ48:CZ54)</f>
        <v>11689.684615384616</v>
      </c>
      <c r="DA55" s="611">
        <f>CZ55/$CZ$73</f>
        <v>0.21292318261630178</v>
      </c>
      <c r="DB55" s="106"/>
      <c r="DC55" s="20"/>
      <c r="DD55" s="45"/>
      <c r="DE55" s="45"/>
      <c r="DF55" s="61"/>
      <c r="DG55" s="79">
        <f>SUM(DG48:DG54)</f>
        <v>10554.069230769233</v>
      </c>
      <c r="DH55" s="611">
        <f>DG55/$DG$73</f>
        <v>0.17818194272557933</v>
      </c>
    </row>
    <row r="56" spans="1:112" ht="15" customHeight="1" x14ac:dyDescent="0.2">
      <c r="A56"/>
      <c r="C56" s="57"/>
      <c r="D56" s="119" t="s">
        <v>31</v>
      </c>
      <c r="E56" s="122" t="s">
        <v>25</v>
      </c>
      <c r="F56" s="120" t="s">
        <v>26</v>
      </c>
      <c r="G56" s="42"/>
      <c r="H56"/>
      <c r="I56" s="4"/>
      <c r="J56" s="57"/>
      <c r="K56" s="119" t="s">
        <v>31</v>
      </c>
      <c r="L56" s="122" t="s">
        <v>25</v>
      </c>
      <c r="M56" s="120" t="s">
        <v>26</v>
      </c>
      <c r="N56" s="42"/>
      <c r="O56" s="1"/>
      <c r="P56" s="4"/>
      <c r="Q56" s="57"/>
      <c r="R56" s="119" t="s">
        <v>31</v>
      </c>
      <c r="S56" s="122" t="s">
        <v>25</v>
      </c>
      <c r="T56" s="120" t="s">
        <v>26</v>
      </c>
      <c r="U56" s="42"/>
      <c r="W56" s="20"/>
      <c r="X56" s="57"/>
      <c r="Y56" s="119" t="s">
        <v>31</v>
      </c>
      <c r="Z56" s="122" t="s">
        <v>25</v>
      </c>
      <c r="AA56" s="120" t="s">
        <v>26</v>
      </c>
      <c r="AB56" s="42"/>
      <c r="AD56" s="20"/>
      <c r="AE56" s="57"/>
      <c r="AF56" s="119" t="s">
        <v>31</v>
      </c>
      <c r="AG56" s="122" t="s">
        <v>25</v>
      </c>
      <c r="AH56" s="120" t="s">
        <v>26</v>
      </c>
      <c r="AI56" s="42"/>
      <c r="AK56" s="20"/>
      <c r="AL56" s="57"/>
      <c r="AM56" s="119" t="s">
        <v>31</v>
      </c>
      <c r="AN56" s="122" t="s">
        <v>25</v>
      </c>
      <c r="AO56" s="120" t="s">
        <v>26</v>
      </c>
      <c r="AP56" s="42"/>
      <c r="AR56" s="20"/>
      <c r="AS56" s="57"/>
      <c r="AT56" s="119" t="s">
        <v>31</v>
      </c>
      <c r="AU56" s="122" t="s">
        <v>25</v>
      </c>
      <c r="AV56" s="120" t="s">
        <v>26</v>
      </c>
      <c r="AW56" s="42"/>
      <c r="AY56" s="20"/>
      <c r="AZ56" s="57"/>
      <c r="BA56" s="119" t="s">
        <v>31</v>
      </c>
      <c r="BB56" s="122" t="s">
        <v>25</v>
      </c>
      <c r="BC56" s="120" t="s">
        <v>26</v>
      </c>
      <c r="BD56" s="42"/>
      <c r="BF56" s="20"/>
      <c r="BG56" s="57"/>
      <c r="BH56" s="119" t="s">
        <v>31</v>
      </c>
      <c r="BI56" s="122" t="s">
        <v>25</v>
      </c>
      <c r="BJ56" s="120" t="s">
        <v>26</v>
      </c>
      <c r="BK56" s="42"/>
      <c r="BM56" s="20"/>
      <c r="BN56" s="57"/>
      <c r="BO56" s="119" t="s">
        <v>31</v>
      </c>
      <c r="BP56" s="122" t="s">
        <v>25</v>
      </c>
      <c r="BQ56" s="120" t="s">
        <v>26</v>
      </c>
      <c r="BR56" s="42"/>
      <c r="BT56" s="20"/>
      <c r="BU56" s="57"/>
      <c r="BV56" s="119" t="s">
        <v>31</v>
      </c>
      <c r="BW56" s="122" t="s">
        <v>25</v>
      </c>
      <c r="BX56" s="120" t="s">
        <v>26</v>
      </c>
      <c r="BY56" s="42"/>
      <c r="CA56" s="20"/>
      <c r="CB56" s="57"/>
      <c r="CC56" s="119" t="s">
        <v>31</v>
      </c>
      <c r="CD56" s="122" t="s">
        <v>25</v>
      </c>
      <c r="CE56" s="120" t="s">
        <v>26</v>
      </c>
      <c r="CF56" s="42"/>
      <c r="CH56" s="20"/>
      <c r="CI56" s="57"/>
      <c r="CJ56" s="119" t="s">
        <v>31</v>
      </c>
      <c r="CK56" s="122" t="s">
        <v>25</v>
      </c>
      <c r="CL56" s="120" t="s">
        <v>26</v>
      </c>
      <c r="CM56" s="42"/>
      <c r="CO56" s="20"/>
      <c r="CP56" s="57"/>
      <c r="CQ56" s="119" t="s">
        <v>31</v>
      </c>
      <c r="CR56" s="122" t="s">
        <v>25</v>
      </c>
      <c r="CS56" s="120" t="s">
        <v>26</v>
      </c>
      <c r="CT56" s="42"/>
      <c r="CV56" s="20"/>
      <c r="CW56" s="57"/>
      <c r="CX56" s="119" t="s">
        <v>31</v>
      </c>
      <c r="CY56" s="122" t="s">
        <v>25</v>
      </c>
      <c r="CZ56" s="120" t="s">
        <v>26</v>
      </c>
      <c r="DA56" s="42"/>
      <c r="DC56" s="20"/>
      <c r="DD56" s="57"/>
      <c r="DE56" s="119" t="s">
        <v>31</v>
      </c>
      <c r="DF56" s="122" t="s">
        <v>25</v>
      </c>
      <c r="DG56" s="120" t="s">
        <v>26</v>
      </c>
      <c r="DH56" s="42"/>
    </row>
    <row r="57" spans="1:112" ht="12.75" customHeight="1" x14ac:dyDescent="0.2">
      <c r="A57" s="17" t="s">
        <v>70</v>
      </c>
      <c r="B57" s="20" t="s">
        <v>33</v>
      </c>
      <c r="C57" s="57"/>
      <c r="D57" s="46">
        <f>C39*D39+C40*D40</f>
        <v>1</v>
      </c>
      <c r="E57" s="61">
        <f>'Standard Vorgaben'!$C$31</f>
        <v>32.700000000000003</v>
      </c>
      <c r="F57" s="43">
        <f t="shared" ref="F57:F65" si="45">D57*E57</f>
        <v>32.700000000000003</v>
      </c>
      <c r="G57" s="42">
        <f>F57/$F$73</f>
        <v>2.7092982925899034E-3</v>
      </c>
      <c r="H57" s="17" t="s">
        <v>70</v>
      </c>
      <c r="I57" s="4" t="s">
        <v>33</v>
      </c>
      <c r="J57" s="57"/>
      <c r="K57" s="46">
        <f>J39*K39+J40*K40</f>
        <v>1</v>
      </c>
      <c r="L57" s="61">
        <f>'Standard Vorgaben'!$C$31</f>
        <v>32.700000000000003</v>
      </c>
      <c r="M57" s="43">
        <f>K57*L57</f>
        <v>32.700000000000003</v>
      </c>
      <c r="N57" s="42">
        <f>M57/$M$73</f>
        <v>2.6800265248788251E-3</v>
      </c>
      <c r="O57" s="3" t="s">
        <v>70</v>
      </c>
      <c r="P57" s="4" t="s">
        <v>33</v>
      </c>
      <c r="Q57" s="57"/>
      <c r="R57" s="46">
        <f>Q39*R39+Q40*R40</f>
        <v>9.4615384615384599</v>
      </c>
      <c r="S57" s="61">
        <f>'Standard Vorgaben'!$C$31</f>
        <v>32.700000000000003</v>
      </c>
      <c r="T57" s="43">
        <f>R57*S57</f>
        <v>309.39230769230767</v>
      </c>
      <c r="U57" s="42">
        <f t="shared" ref="U57:U73" si="46">T57/$T$73</f>
        <v>3.6120359975766901E-3</v>
      </c>
      <c r="V57" s="17" t="s">
        <v>70</v>
      </c>
      <c r="W57" s="4" t="s">
        <v>33</v>
      </c>
      <c r="X57" s="57"/>
      <c r="Y57" s="46">
        <f>X39*Y39+X40*Y40</f>
        <v>4.5897435897435894</v>
      </c>
      <c r="Z57" s="61">
        <f>'Standard Vorgaben'!$C$31</f>
        <v>32.700000000000003</v>
      </c>
      <c r="AA57" s="43">
        <f>Y57*Z57</f>
        <v>150.08461538461538</v>
      </c>
      <c r="AB57" s="42">
        <f>AA57/$AA$73</f>
        <v>4.4632358472565838E-3</v>
      </c>
      <c r="AC57" s="17" t="s">
        <v>70</v>
      </c>
      <c r="AD57" s="4" t="s">
        <v>33</v>
      </c>
      <c r="AE57" s="57"/>
      <c r="AF57" s="46">
        <f>AE39*AF39+AE40*AF40</f>
        <v>6.3846153846153841</v>
      </c>
      <c r="AG57" s="61">
        <f>'Standard Vorgaben'!$C$31</f>
        <v>32.700000000000003</v>
      </c>
      <c r="AH57" s="43">
        <f>AF57*AG57</f>
        <v>208.77692307692308</v>
      </c>
      <c r="AI57" s="42">
        <f>AH57/$AH$73</f>
        <v>3.7999338633573285E-3</v>
      </c>
      <c r="AJ57" s="17" t="s">
        <v>70</v>
      </c>
      <c r="AK57" s="4" t="s">
        <v>33</v>
      </c>
      <c r="AL57" s="57"/>
      <c r="AM57" s="46">
        <f>AL39*AM39+AL40*AM40</f>
        <v>13.692307692307692</v>
      </c>
      <c r="AN57" s="61">
        <f>'Standard Vorgaben'!$C$31</f>
        <v>32.700000000000003</v>
      </c>
      <c r="AO57" s="43">
        <f>AM57*AN57</f>
        <v>447.73846153846154</v>
      </c>
      <c r="AP57" s="42">
        <f>AO57/$AO$73</f>
        <v>7.9636444661727694E-3</v>
      </c>
      <c r="AQ57" s="17" t="s">
        <v>70</v>
      </c>
      <c r="AR57" s="4" t="s">
        <v>33</v>
      </c>
      <c r="AS57" s="57"/>
      <c r="AT57" s="46">
        <f>AS39*AT39+AS40*AT40</f>
        <v>6.3846153846153841</v>
      </c>
      <c r="AU57" s="61">
        <f>'Standard Vorgaben'!$C$31</f>
        <v>32.700000000000003</v>
      </c>
      <c r="AV57" s="43">
        <f>AT57*AU57</f>
        <v>208.77692307692308</v>
      </c>
      <c r="AW57" s="42">
        <f>AV57/$AV$73</f>
        <v>3.8261541636931584E-3</v>
      </c>
      <c r="AX57" s="17" t="s">
        <v>70</v>
      </c>
      <c r="AY57" s="4" t="s">
        <v>33</v>
      </c>
      <c r="AZ57" s="57"/>
      <c r="BA57" s="46">
        <f>AZ39*BA39+AZ40*BA40</f>
        <v>6.3846153846153841</v>
      </c>
      <c r="BB57" s="61">
        <f>'Standard Vorgaben'!$C$31</f>
        <v>32.700000000000003</v>
      </c>
      <c r="BC57" s="43">
        <f>BA57*BB57</f>
        <v>208.77692307692308</v>
      </c>
      <c r="BD57" s="42">
        <f>BC57/$BC$73</f>
        <v>3.8400467156326358E-3</v>
      </c>
      <c r="BE57" s="17" t="s">
        <v>70</v>
      </c>
      <c r="BF57" s="4" t="s">
        <v>33</v>
      </c>
      <c r="BG57" s="57"/>
      <c r="BH57" s="46">
        <f>BG39*BH39+BG40*BH40</f>
        <v>13.692307692307692</v>
      </c>
      <c r="BI57" s="61">
        <f>'Standard Vorgaben'!$C$31</f>
        <v>32.700000000000003</v>
      </c>
      <c r="BJ57" s="43">
        <f>BH57*BI57</f>
        <v>447.73846153846154</v>
      </c>
      <c r="BK57" s="42">
        <f>BJ57/$BJ$73</f>
        <v>4.4634259760014906E-3</v>
      </c>
      <c r="BL57" s="17" t="s">
        <v>70</v>
      </c>
      <c r="BM57" s="4" t="s">
        <v>33</v>
      </c>
      <c r="BN57" s="57"/>
      <c r="BO57" s="46">
        <f>BN39*BO39+BN40*BO40</f>
        <v>6.3846153846153841</v>
      </c>
      <c r="BP57" s="61">
        <f>'Standard Vorgaben'!$C$31</f>
        <v>32.700000000000003</v>
      </c>
      <c r="BQ57" s="43">
        <f>BO57*BP57</f>
        <v>208.77692307692308</v>
      </c>
      <c r="BR57" s="42">
        <f>BQ57/$BQ$73</f>
        <v>3.540796300536257E-3</v>
      </c>
      <c r="BS57" s="17" t="s">
        <v>70</v>
      </c>
      <c r="BT57" s="4" t="s">
        <v>33</v>
      </c>
      <c r="BU57" s="57"/>
      <c r="BV57" s="46">
        <f>BU39*BV39+BU40*BV40</f>
        <v>6.3846153846153841</v>
      </c>
      <c r="BW57" s="61">
        <f>'Standard Vorgaben'!$C$31</f>
        <v>32.700000000000003</v>
      </c>
      <c r="BX57" s="43">
        <f>BV57*BW57</f>
        <v>208.77692307692308</v>
      </c>
      <c r="BY57" s="42">
        <f>BX57/$BX$73</f>
        <v>3.850152243209642E-3</v>
      </c>
      <c r="BZ57" s="17" t="s">
        <v>70</v>
      </c>
      <c r="CA57" s="4" t="s">
        <v>33</v>
      </c>
      <c r="CB57" s="57"/>
      <c r="CC57" s="46">
        <f>CB39*CC39+CB40*CC40</f>
        <v>13.692307692307692</v>
      </c>
      <c r="CD57" s="61">
        <f>'Standard Vorgaben'!$C$31</f>
        <v>32.700000000000003</v>
      </c>
      <c r="CE57" s="43">
        <f>CC57*CD57</f>
        <v>447.73846153846154</v>
      </c>
      <c r="CF57" s="42">
        <f>CE57/$CE$73</f>
        <v>8.0673981116513999E-3</v>
      </c>
      <c r="CG57" s="17" t="s">
        <v>70</v>
      </c>
      <c r="CH57" s="4" t="s">
        <v>33</v>
      </c>
      <c r="CI57" s="57"/>
      <c r="CJ57" s="46">
        <f>CI39*CJ39+CI40*CJ40</f>
        <v>6.3846153846153841</v>
      </c>
      <c r="CK57" s="61">
        <f>'Standard Vorgaben'!$C$31</f>
        <v>32.700000000000003</v>
      </c>
      <c r="CL57" s="43">
        <f>CJ57*CK57</f>
        <v>208.77692307692308</v>
      </c>
      <c r="CM57" s="42">
        <f>CL57/$CL$73</f>
        <v>3.8780057445671479E-3</v>
      </c>
      <c r="CN57" s="17" t="s">
        <v>70</v>
      </c>
      <c r="CO57" s="4" t="s">
        <v>33</v>
      </c>
      <c r="CP57" s="57"/>
      <c r="CQ57" s="46">
        <f>CP39*CQ39+CP40*CQ40</f>
        <v>6.3846153846153841</v>
      </c>
      <c r="CR57" s="61">
        <f>'Standard Vorgaben'!$C$31</f>
        <v>32.700000000000003</v>
      </c>
      <c r="CS57" s="43">
        <f>CQ57*CR57</f>
        <v>208.77692307692308</v>
      </c>
      <c r="CT57" s="42">
        <f>CS57/$CS$73</f>
        <v>3.8927546252484446E-3</v>
      </c>
      <c r="CU57" s="17" t="s">
        <v>70</v>
      </c>
      <c r="CV57" s="4" t="s">
        <v>33</v>
      </c>
      <c r="CW57" s="57"/>
      <c r="CX57" s="46">
        <f>CW39*CX39+CW40*CX40</f>
        <v>13.692307692307692</v>
      </c>
      <c r="CY57" s="61">
        <f>'Standard Vorgaben'!$C$31</f>
        <v>32.700000000000003</v>
      </c>
      <c r="CZ57" s="43">
        <f>CX57*CY57</f>
        <v>447.73846153846154</v>
      </c>
      <c r="DA57" s="42">
        <f>CZ57/$CZ$73</f>
        <v>8.1553866804095262E-3</v>
      </c>
      <c r="DB57" s="17" t="s">
        <v>70</v>
      </c>
      <c r="DC57" s="4" t="s">
        <v>33</v>
      </c>
      <c r="DD57" s="57"/>
      <c r="DE57" s="46">
        <f>DD39*DE39+DD40*DE40</f>
        <v>6.3846153846153841</v>
      </c>
      <c r="DF57" s="61">
        <f>'Standard Vorgaben'!$C$31</f>
        <v>32.700000000000003</v>
      </c>
      <c r="DG57" s="43">
        <f>DE57*DF57</f>
        <v>208.77692307692308</v>
      </c>
      <c r="DH57" s="42">
        <f>DG57/$DG$73</f>
        <v>3.5247331561613841E-3</v>
      </c>
    </row>
    <row r="58" spans="1:112" x14ac:dyDescent="0.2">
      <c r="B58" s="4" t="s">
        <v>203</v>
      </c>
      <c r="C58"/>
      <c r="D58" s="46">
        <f>(C38*D38+C41*D41+C42*D42)+'Standard Vorgaben'!B88+'Standard Vorgaben'!C88</f>
        <v>45.5</v>
      </c>
      <c r="E58" s="61">
        <f>'Standard Vorgaben'!$C$31</f>
        <v>32.700000000000003</v>
      </c>
      <c r="F58" s="43">
        <f t="shared" si="45"/>
        <v>1487.8500000000001</v>
      </c>
      <c r="G58" s="42">
        <f>F58/$F$73</f>
        <v>0.12327307231284061</v>
      </c>
      <c r="H58" s="17"/>
      <c r="I58" s="4" t="s">
        <v>203</v>
      </c>
      <c r="J58" s="1"/>
      <c r="K58" s="46">
        <f>(J38*K38+J41*K41+J42*K42)+'Standard Vorgaben'!B89+'Standard Vorgaben'!C89</f>
        <v>45.5</v>
      </c>
      <c r="L58" s="61">
        <f>'Standard Vorgaben'!$C$31</f>
        <v>32.700000000000003</v>
      </c>
      <c r="M58" s="43">
        <f t="shared" ref="M58:M65" si="47">K58*L58</f>
        <v>1487.8500000000001</v>
      </c>
      <c r="N58" s="42">
        <f>M58/$M$73</f>
        <v>0.12194120688198655</v>
      </c>
      <c r="O58" s="3"/>
      <c r="P58" s="4" t="s">
        <v>203</v>
      </c>
      <c r="Q58" s="1"/>
      <c r="R58" s="46">
        <f>(Q38*R38+Q41*R41+Q42*R42)+'Standard Vorgaben'!B87+'Standard Vorgaben'!C87</f>
        <v>41</v>
      </c>
      <c r="S58" s="61">
        <f>'Standard Vorgaben'!$C$31</f>
        <v>32.700000000000003</v>
      </c>
      <c r="T58" s="43">
        <f t="shared" ref="T58:T67" si="48">R58*S58</f>
        <v>1340.7</v>
      </c>
      <c r="U58" s="42">
        <f t="shared" si="46"/>
        <v>1.5652155989498991E-2</v>
      </c>
      <c r="V58" s="17"/>
      <c r="W58" s="4" t="s">
        <v>203</v>
      </c>
      <c r="X58" s="1"/>
      <c r="Y58" s="46">
        <f>(X38*Y38+X41*Y41+X42*Y42)+'Standard Vorgaben'!$B$87+'Standard Vorgaben'!$C$87</f>
        <v>41</v>
      </c>
      <c r="Z58" s="61">
        <f>'Standard Vorgaben'!$C$31</f>
        <v>32.700000000000003</v>
      </c>
      <c r="AA58" s="43">
        <f t="shared" ref="AA58:AA67" si="49">Y58*Z58</f>
        <v>1340.7</v>
      </c>
      <c r="AB58" s="42">
        <f>AA58/$AA$73</f>
        <v>3.9869911283593733E-2</v>
      </c>
      <c r="AC58" s="17"/>
      <c r="AD58" s="4" t="s">
        <v>203</v>
      </c>
      <c r="AE58" s="1"/>
      <c r="AF58" s="46">
        <f>(AE38*AF38+AE41*AF41+AE42*AF42)+'Standard Vorgaben'!$B$87+'Standard Vorgaben'!$C$87</f>
        <v>35</v>
      </c>
      <c r="AG58" s="61">
        <f>'Standard Vorgaben'!$C$31</f>
        <v>32.700000000000003</v>
      </c>
      <c r="AH58" s="43">
        <f t="shared" ref="AH58:AH67" si="50">AF58*AG58</f>
        <v>1144.5</v>
      </c>
      <c r="AI58" s="42">
        <f>AH58/$AH$73</f>
        <v>2.0830962744910655E-2</v>
      </c>
      <c r="AJ58" s="17"/>
      <c r="AK58" s="4" t="s">
        <v>203</v>
      </c>
      <c r="AL58" s="1"/>
      <c r="AM58" s="46">
        <f>(AL38*AM38+AL41*AM41+AL42*AM42)+'Standard Vorgaben'!$B$87+'Standard Vorgaben'!$C$87</f>
        <v>35</v>
      </c>
      <c r="AN58" s="61">
        <f>'Standard Vorgaben'!$C$31</f>
        <v>32.700000000000003</v>
      </c>
      <c r="AO58" s="43">
        <f t="shared" ref="AO58:AO67" si="51">AM58*AN58</f>
        <v>1144.5</v>
      </c>
      <c r="AP58" s="42">
        <f>AO58/$AO$73</f>
        <v>2.0356506921958482E-2</v>
      </c>
      <c r="AQ58" s="17"/>
      <c r="AR58" s="4" t="s">
        <v>203</v>
      </c>
      <c r="AS58" s="1"/>
      <c r="AT58" s="46">
        <f>(AS38*AT38+AS41*AT41+AS42*AT42)+'Standard Vorgaben'!$B$87+'Standard Vorgaben'!$C$87</f>
        <v>35</v>
      </c>
      <c r="AU58" s="61">
        <f>'Standard Vorgaben'!$C$31</f>
        <v>32.700000000000003</v>
      </c>
      <c r="AV58" s="43">
        <f t="shared" ref="AV58:AV67" si="52">AT58*AU58</f>
        <v>1144.5</v>
      </c>
      <c r="AW58" s="42">
        <f>AV58/$AV$73</f>
        <v>2.0974700535908275E-2</v>
      </c>
      <c r="AX58" s="17"/>
      <c r="AY58" s="4" t="s">
        <v>203</v>
      </c>
      <c r="AZ58" s="1"/>
      <c r="BA58" s="46">
        <f>(AZ38*BA38+AZ41*BA41+AZ42*BA42)+'Standard Vorgaben'!$B$87+'Standard Vorgaben'!$C$87</f>
        <v>35</v>
      </c>
      <c r="BB58" s="61">
        <f>'Standard Vorgaben'!$C$31</f>
        <v>32.700000000000003</v>
      </c>
      <c r="BC58" s="43">
        <f t="shared" ref="BC58:BC66" si="53">BA58*BB58</f>
        <v>1144.5</v>
      </c>
      <c r="BD58" s="42">
        <f>BC58/$BC$73</f>
        <v>2.105085850135963E-2</v>
      </c>
      <c r="BE58" s="17"/>
      <c r="BF58" s="4" t="s">
        <v>203</v>
      </c>
      <c r="BG58" s="1"/>
      <c r="BH58" s="46">
        <f>(BG38*BH38+BG41*BH41+BG42*BH42)+'Standard Vorgaben'!$B$87+'Standard Vorgaben'!$C$87</f>
        <v>35</v>
      </c>
      <c r="BI58" s="61">
        <f>'Standard Vorgaben'!$C$31</f>
        <v>32.700000000000003</v>
      </c>
      <c r="BJ58" s="43">
        <f t="shared" ref="BJ58:BJ67" si="54">BH58*BI58</f>
        <v>1144.5</v>
      </c>
      <c r="BK58" s="42">
        <f>BJ58/$BJ$73</f>
        <v>1.1409319208318417E-2</v>
      </c>
      <c r="BL58" s="17"/>
      <c r="BM58" s="4" t="s">
        <v>203</v>
      </c>
      <c r="BN58" s="1"/>
      <c r="BO58" s="46">
        <f>(BN38*BO38+BN41*BO41+BN42*BO42)+'Standard Vorgaben'!$B$87+'Standard Vorgaben'!$C$87</f>
        <v>35</v>
      </c>
      <c r="BP58" s="61">
        <f>'Standard Vorgaben'!$C$31</f>
        <v>32.700000000000003</v>
      </c>
      <c r="BQ58" s="43">
        <f t="shared" ref="BQ58:BQ67" si="55">BO58*BP58</f>
        <v>1144.5</v>
      </c>
      <c r="BR58" s="42">
        <f>BQ58/$BQ$73</f>
        <v>1.941038935836141E-2</v>
      </c>
      <c r="BS58" s="17"/>
      <c r="BT58" s="4" t="s">
        <v>203</v>
      </c>
      <c r="BU58" s="1"/>
      <c r="BV58" s="46">
        <f>(BU38*BV38+BU41*BV41+BU42*BV42)+'Standard Vorgaben'!$B$87+'Standard Vorgaben'!$C$87</f>
        <v>35</v>
      </c>
      <c r="BW58" s="61">
        <f>'Standard Vorgaben'!$C$31</f>
        <v>32.700000000000003</v>
      </c>
      <c r="BX58" s="43">
        <f t="shared" ref="BX58:BX67" si="56">BV58*BW58</f>
        <v>1144.5</v>
      </c>
      <c r="BY58" s="42">
        <f>BX58/$BX$73</f>
        <v>2.110625627301671E-2</v>
      </c>
      <c r="BZ58" s="17"/>
      <c r="CA58" s="4" t="s">
        <v>203</v>
      </c>
      <c r="CB58" s="1"/>
      <c r="CC58" s="46">
        <f>(CB38*CC38+CB41*CC41+CB42*CC42)+'Standard Vorgaben'!$B$87+'Standard Vorgaben'!$C$87</f>
        <v>35</v>
      </c>
      <c r="CD58" s="61">
        <f>'Standard Vorgaben'!$C$31</f>
        <v>32.700000000000003</v>
      </c>
      <c r="CE58" s="43">
        <f t="shared" ref="CE58:CE67" si="57">CC58*CD58</f>
        <v>1144.5</v>
      </c>
      <c r="CF58" s="42">
        <f>CE58/$CE$73</f>
        <v>2.0621719892142624E-2</v>
      </c>
      <c r="CG58" s="17"/>
      <c r="CH58" s="4" t="s">
        <v>203</v>
      </c>
      <c r="CI58" s="1"/>
      <c r="CJ58" s="46">
        <f>(CI38*CJ38+CI41*CJ41+CI42*CJ42)+'Standard Vorgaben'!$B$87+'Standard Vorgaben'!$C$87</f>
        <v>35</v>
      </c>
      <c r="CK58" s="61">
        <f>'Standard Vorgaben'!$C$31</f>
        <v>32.700000000000003</v>
      </c>
      <c r="CL58" s="43">
        <f t="shared" ref="CL58:CL67" si="58">CJ58*CK58</f>
        <v>1144.5</v>
      </c>
      <c r="CM58" s="42">
        <f>CL58/$CL$73</f>
        <v>2.1258947153952438E-2</v>
      </c>
      <c r="CN58" s="17"/>
      <c r="CO58" s="4" t="s">
        <v>203</v>
      </c>
      <c r="CP58" s="1"/>
      <c r="CQ58" s="46">
        <f>(CP38*CQ38+CP41*CQ41+CP42*CQ42)+'Standard Vorgaben'!$B$87+'Standard Vorgaben'!$C$87</f>
        <v>35</v>
      </c>
      <c r="CR58" s="61">
        <f>'Standard Vorgaben'!$C$31</f>
        <v>32.700000000000003</v>
      </c>
      <c r="CS58" s="43">
        <f t="shared" ref="CS58:CS67" si="59">CQ58*CR58</f>
        <v>1144.5</v>
      </c>
      <c r="CT58" s="42">
        <f>CS58/$CS$73</f>
        <v>2.1339799451663158E-2</v>
      </c>
      <c r="CU58" s="17"/>
      <c r="CV58" s="4" t="s">
        <v>203</v>
      </c>
      <c r="CW58" s="1"/>
      <c r="CX58" s="46">
        <f>(CW38*CX38+CW41*CX41+CW42*CX42)+'Standard Vorgaben'!$B$87+'Standard Vorgaben'!$C$87</f>
        <v>35</v>
      </c>
      <c r="CY58" s="61">
        <f>'Standard Vorgaben'!$C$31</f>
        <v>32.700000000000003</v>
      </c>
      <c r="CZ58" s="43">
        <f t="shared" ref="CZ58:CZ67" si="60">CX58*CY58</f>
        <v>1144.5</v>
      </c>
      <c r="DA58" s="42">
        <f>CZ58/$CZ$73</f>
        <v>2.084663449205806E-2</v>
      </c>
      <c r="DB58" s="17"/>
      <c r="DC58" s="4" t="s">
        <v>203</v>
      </c>
      <c r="DD58" s="1"/>
      <c r="DE58" s="46">
        <f>(DD38*DE38+DD41*DE41+DD42*DE42)+'Standard Vorgaben'!$B$87+'Standard Vorgaben'!$C$87</f>
        <v>35</v>
      </c>
      <c r="DF58" s="61">
        <f>'Standard Vorgaben'!$C$31</f>
        <v>32.700000000000003</v>
      </c>
      <c r="DG58" s="43">
        <f t="shared" ref="DG58:DG67" si="61">DE58*DF58</f>
        <v>1144.5</v>
      </c>
      <c r="DH58" s="42">
        <f>DG58/$DG$73</f>
        <v>1.9322332362089516E-2</v>
      </c>
    </row>
    <row r="59" spans="1:112" x14ac:dyDescent="0.2">
      <c r="B59" s="4" t="str">
        <f>'Standard Vorgaben'!$D$85</f>
        <v>Baumerziehung 
(Sommer+Winter)</v>
      </c>
      <c r="C59" s="45"/>
      <c r="D59" s="46">
        <f>'Standard Vorgaben'!D88</f>
        <v>60</v>
      </c>
      <c r="E59" s="61">
        <f>'Standard Vorgaben'!$C$31</f>
        <v>32.700000000000003</v>
      </c>
      <c r="F59" s="43">
        <f t="shared" si="45"/>
        <v>1962.0000000000002</v>
      </c>
      <c r="G59" s="42">
        <f>F59/$F$73</f>
        <v>0.16255789755539421</v>
      </c>
      <c r="H59" s="17"/>
      <c r="I59" s="4" t="str">
        <f>'Standard Vorgaben'!$D$85</f>
        <v>Baumerziehung 
(Sommer+Winter)</v>
      </c>
      <c r="J59" s="45"/>
      <c r="K59" s="46">
        <f>'Standard Vorgaben'!D89</f>
        <v>60</v>
      </c>
      <c r="L59" s="61">
        <f>'Standard Vorgaben'!$C$31</f>
        <v>32.700000000000003</v>
      </c>
      <c r="M59" s="43">
        <f t="shared" si="47"/>
        <v>1962.0000000000002</v>
      </c>
      <c r="N59" s="42">
        <f>M59/$M$73</f>
        <v>0.16080159149272952</v>
      </c>
      <c r="O59" s="3"/>
      <c r="P59" s="4" t="str">
        <f>'Standard Vorgaben'!$D$85</f>
        <v>Baumerziehung 
(Sommer+Winter)</v>
      </c>
      <c r="Q59" s="45"/>
      <c r="R59" s="46">
        <f>'Standard Vorgaben'!D87</f>
        <v>100</v>
      </c>
      <c r="S59" s="61">
        <f>'Standard Vorgaben'!$C$31</f>
        <v>32.700000000000003</v>
      </c>
      <c r="T59" s="43">
        <f t="shared" si="48"/>
        <v>3270.0000000000005</v>
      </c>
      <c r="U59" s="42">
        <f t="shared" si="46"/>
        <v>3.8175990218290226E-2</v>
      </c>
      <c r="V59" s="17"/>
      <c r="W59" s="4" t="str">
        <f>'Standard Vorgaben'!$D$85</f>
        <v>Baumerziehung 
(Sommer+Winter)</v>
      </c>
      <c r="X59" s="45"/>
      <c r="Y59" s="46">
        <f>'Standard Vorgaben'!$D$87</f>
        <v>100</v>
      </c>
      <c r="Z59" s="61">
        <f>'Standard Vorgaben'!$C$31</f>
        <v>32.700000000000003</v>
      </c>
      <c r="AA59" s="43">
        <f t="shared" si="49"/>
        <v>3270.0000000000005</v>
      </c>
      <c r="AB59" s="42">
        <f>AA59/$AA$73</f>
        <v>9.72436860575457E-2</v>
      </c>
      <c r="AC59" s="17"/>
      <c r="AD59" s="4" t="str">
        <f>'Standard Vorgaben'!$D$85</f>
        <v>Baumerziehung 
(Sommer+Winter)</v>
      </c>
      <c r="AE59" s="45"/>
      <c r="AF59" s="46">
        <f>'Standard Vorgaben'!$D$87</f>
        <v>100</v>
      </c>
      <c r="AG59" s="61">
        <f>'Standard Vorgaben'!$C$31</f>
        <v>32.700000000000003</v>
      </c>
      <c r="AH59" s="43">
        <f t="shared" si="50"/>
        <v>3270.0000000000005</v>
      </c>
      <c r="AI59" s="42">
        <f>AH59/$AH$73</f>
        <v>5.9517036414030451E-2</v>
      </c>
      <c r="AJ59" s="17"/>
      <c r="AK59" s="4" t="str">
        <f>'Standard Vorgaben'!$D$85</f>
        <v>Baumerziehung 
(Sommer+Winter)</v>
      </c>
      <c r="AL59" s="45"/>
      <c r="AM59" s="46">
        <f>'Standard Vorgaben'!$D$87</f>
        <v>100</v>
      </c>
      <c r="AN59" s="61">
        <f>'Standard Vorgaben'!$C$31</f>
        <v>32.700000000000003</v>
      </c>
      <c r="AO59" s="43">
        <f t="shared" si="51"/>
        <v>3270.0000000000005</v>
      </c>
      <c r="AP59" s="42">
        <f>AO59/$AO$73</f>
        <v>5.8161448348452813E-2</v>
      </c>
      <c r="AQ59" s="17"/>
      <c r="AR59" s="4" t="str">
        <f>'Standard Vorgaben'!$D$85</f>
        <v>Baumerziehung 
(Sommer+Winter)</v>
      </c>
      <c r="AS59" s="45"/>
      <c r="AT59" s="46">
        <f>'Standard Vorgaben'!$D$87</f>
        <v>100</v>
      </c>
      <c r="AU59" s="61">
        <f>'Standard Vorgaben'!$C$31</f>
        <v>32.700000000000003</v>
      </c>
      <c r="AV59" s="43">
        <f t="shared" si="52"/>
        <v>3270.0000000000005</v>
      </c>
      <c r="AW59" s="42">
        <f>AV59/$AV$73</f>
        <v>5.9927715816880799E-2</v>
      </c>
      <c r="AX59" s="17"/>
      <c r="AY59" s="4" t="str">
        <f>'Standard Vorgaben'!$D$85</f>
        <v>Baumerziehung 
(Sommer+Winter)</v>
      </c>
      <c r="AZ59" s="45"/>
      <c r="BA59" s="46">
        <f>'Standard Vorgaben'!$D$87</f>
        <v>100</v>
      </c>
      <c r="BB59" s="61">
        <f>'Standard Vorgaben'!$C$31</f>
        <v>32.700000000000003</v>
      </c>
      <c r="BC59" s="43">
        <f t="shared" si="53"/>
        <v>3270.0000000000005</v>
      </c>
      <c r="BD59" s="42">
        <f>BC59/$BC$73</f>
        <v>6.0145310003884664E-2</v>
      </c>
      <c r="BE59" s="17"/>
      <c r="BF59" s="4" t="str">
        <f>'Standard Vorgaben'!$D$85</f>
        <v>Baumerziehung 
(Sommer+Winter)</v>
      </c>
      <c r="BG59" s="45"/>
      <c r="BH59" s="46">
        <f>'Standard Vorgaben'!$D$87</f>
        <v>100</v>
      </c>
      <c r="BI59" s="61">
        <f>'Standard Vorgaben'!$C$31</f>
        <v>32.700000000000003</v>
      </c>
      <c r="BJ59" s="43">
        <f t="shared" si="54"/>
        <v>3270.0000000000005</v>
      </c>
      <c r="BK59" s="42">
        <f>BJ59/$BJ$73</f>
        <v>3.259805488090977E-2</v>
      </c>
      <c r="BL59" s="17"/>
      <c r="BM59" s="4" t="str">
        <f>'Standard Vorgaben'!$D$85</f>
        <v>Baumerziehung 
(Sommer+Winter)</v>
      </c>
      <c r="BN59" s="45"/>
      <c r="BO59" s="46">
        <f>'Standard Vorgaben'!$D$87</f>
        <v>100</v>
      </c>
      <c r="BP59" s="61">
        <f>'Standard Vorgaben'!$C$31</f>
        <v>32.700000000000003</v>
      </c>
      <c r="BQ59" s="43">
        <f t="shared" si="55"/>
        <v>3270.0000000000005</v>
      </c>
      <c r="BR59" s="42">
        <f>BQ59/$BQ$73</f>
        <v>5.5458255309604035E-2</v>
      </c>
      <c r="BS59" s="17"/>
      <c r="BT59" s="4" t="str">
        <f>'Standard Vorgaben'!$D$85</f>
        <v>Baumerziehung 
(Sommer+Winter)</v>
      </c>
      <c r="BU59" s="45"/>
      <c r="BV59" s="46">
        <f>'Standard Vorgaben'!$D$87</f>
        <v>100</v>
      </c>
      <c r="BW59" s="61">
        <f>'Standard Vorgaben'!$C$31</f>
        <v>32.700000000000003</v>
      </c>
      <c r="BX59" s="43">
        <f t="shared" si="56"/>
        <v>3270.0000000000005</v>
      </c>
      <c r="BY59" s="42">
        <f>BX59/$BX$73</f>
        <v>6.0303589351476325E-2</v>
      </c>
      <c r="BZ59" s="17"/>
      <c r="CA59" s="4" t="str">
        <f>'Standard Vorgaben'!$D$85</f>
        <v>Baumerziehung 
(Sommer+Winter)</v>
      </c>
      <c r="CB59" s="45"/>
      <c r="CC59" s="46">
        <f>'Standard Vorgaben'!$D$87</f>
        <v>100</v>
      </c>
      <c r="CD59" s="61">
        <f>'Standard Vorgaben'!$C$31</f>
        <v>32.700000000000003</v>
      </c>
      <c r="CE59" s="43">
        <f t="shared" si="57"/>
        <v>3270.0000000000005</v>
      </c>
      <c r="CF59" s="42">
        <f>CE59/$CE$73</f>
        <v>5.8919199691836073E-2</v>
      </c>
      <c r="CG59" s="17"/>
      <c r="CH59" s="4" t="str">
        <f>'Standard Vorgaben'!$D$85</f>
        <v>Baumerziehung 
(Sommer+Winter)</v>
      </c>
      <c r="CI59" s="45"/>
      <c r="CJ59" s="46">
        <f>'Standard Vorgaben'!$D$87</f>
        <v>100</v>
      </c>
      <c r="CK59" s="61">
        <f>'Standard Vorgaben'!$C$31</f>
        <v>32.700000000000003</v>
      </c>
      <c r="CL59" s="43">
        <f t="shared" si="58"/>
        <v>3270.0000000000005</v>
      </c>
      <c r="CM59" s="42">
        <f>CL59/$CL$73</f>
        <v>6.0739849011292688E-2</v>
      </c>
      <c r="CN59" s="17"/>
      <c r="CO59" s="4" t="str">
        <f>'Standard Vorgaben'!$D$85</f>
        <v>Baumerziehung 
(Sommer+Winter)</v>
      </c>
      <c r="CP59" s="45"/>
      <c r="CQ59" s="46">
        <f>'Standard Vorgaben'!$D$87</f>
        <v>100</v>
      </c>
      <c r="CR59" s="61">
        <f>'Standard Vorgaben'!$C$31</f>
        <v>32.700000000000003</v>
      </c>
      <c r="CS59" s="43">
        <f t="shared" si="59"/>
        <v>3270.0000000000005</v>
      </c>
      <c r="CT59" s="42">
        <f>CS59/$CS$73</f>
        <v>6.0970855576180462E-2</v>
      </c>
      <c r="CU59" s="17"/>
      <c r="CV59" s="4" t="str">
        <f>'Standard Vorgaben'!$D$85</f>
        <v>Baumerziehung 
(Sommer+Winter)</v>
      </c>
      <c r="CW59" s="45"/>
      <c r="CX59" s="46">
        <f>'Standard Vorgaben'!$D$87</f>
        <v>100</v>
      </c>
      <c r="CY59" s="61">
        <f>'Standard Vorgaben'!$C$31</f>
        <v>32.700000000000003</v>
      </c>
      <c r="CZ59" s="43">
        <f t="shared" si="60"/>
        <v>3270.0000000000005</v>
      </c>
      <c r="DA59" s="42">
        <f>CZ59/$CZ$73</f>
        <v>5.9561812834451604E-2</v>
      </c>
      <c r="DB59" s="17"/>
      <c r="DC59" s="4" t="str">
        <f>'Standard Vorgaben'!$D$85</f>
        <v>Baumerziehung 
(Sommer+Winter)</v>
      </c>
      <c r="DD59" s="45"/>
      <c r="DE59" s="46">
        <f>'Standard Vorgaben'!$D$87</f>
        <v>100</v>
      </c>
      <c r="DF59" s="61">
        <f>'Standard Vorgaben'!$C$31</f>
        <v>32.700000000000003</v>
      </c>
      <c r="DG59" s="43">
        <f t="shared" si="61"/>
        <v>3270.0000000000005</v>
      </c>
      <c r="DH59" s="42">
        <f>DG59/$DG$73</f>
        <v>5.5206663891684334E-2</v>
      </c>
    </row>
    <row r="60" spans="1:112" x14ac:dyDescent="0.2">
      <c r="B60" s="20" t="s">
        <v>117</v>
      </c>
      <c r="C60" s="45"/>
      <c r="D60" s="46">
        <f>(C45*D45)+(C47*D47)</f>
        <v>6</v>
      </c>
      <c r="E60" s="61">
        <f>'Standard Vorgaben'!$C$31</f>
        <v>32.700000000000003</v>
      </c>
      <c r="F60" s="43">
        <f t="shared" si="45"/>
        <v>196.20000000000002</v>
      </c>
      <c r="G60" s="42">
        <f>F60/$F$73</f>
        <v>1.6255789755539422E-2</v>
      </c>
      <c r="H60" s="17"/>
      <c r="I60" s="4" t="s">
        <v>117</v>
      </c>
      <c r="J60" s="45"/>
      <c r="K60" s="46">
        <f>(J45*K45)+(J47*K47)</f>
        <v>6</v>
      </c>
      <c r="L60" s="61">
        <f>'Standard Vorgaben'!$C$31</f>
        <v>32.700000000000003</v>
      </c>
      <c r="M60" s="43">
        <f t="shared" si="47"/>
        <v>196.20000000000002</v>
      </c>
      <c r="N60" s="42">
        <f>M60/$M$73</f>
        <v>1.6080159149272952E-2</v>
      </c>
      <c r="O60" s="3"/>
      <c r="P60" s="4" t="s">
        <v>117</v>
      </c>
      <c r="Q60" s="45"/>
      <c r="R60" s="403">
        <f>(Q45*R45)+(Q47*R47)</f>
        <v>6</v>
      </c>
      <c r="S60" s="61">
        <f>'Standard Vorgaben'!$C$31</f>
        <v>32.700000000000003</v>
      </c>
      <c r="T60" s="43">
        <f t="shared" si="48"/>
        <v>196.20000000000002</v>
      </c>
      <c r="U60" s="42">
        <f t="shared" si="46"/>
        <v>2.2905594130974137E-3</v>
      </c>
      <c r="V60" s="17"/>
      <c r="W60" s="4" t="s">
        <v>117</v>
      </c>
      <c r="X60" s="45"/>
      <c r="Y60" s="403">
        <f>(X45*Y45)+(X47*Y47)</f>
        <v>6</v>
      </c>
      <c r="Z60" s="61">
        <f>'Standard Vorgaben'!$C$31</f>
        <v>32.700000000000003</v>
      </c>
      <c r="AA60" s="43">
        <f t="shared" si="49"/>
        <v>196.20000000000002</v>
      </c>
      <c r="AB60" s="42">
        <f>AA60/$AA$73</f>
        <v>5.8346211634527417E-3</v>
      </c>
      <c r="AC60" s="17"/>
      <c r="AD60" s="4" t="s">
        <v>117</v>
      </c>
      <c r="AE60" s="45"/>
      <c r="AF60" s="403">
        <f>(AE45*AF45)+(AE47*AF47)</f>
        <v>6</v>
      </c>
      <c r="AG60" s="61">
        <f>'Standard Vorgaben'!$C$31</f>
        <v>32.700000000000003</v>
      </c>
      <c r="AH60" s="43">
        <f t="shared" si="50"/>
        <v>196.20000000000002</v>
      </c>
      <c r="AI60" s="42">
        <f>AH60/$AH$73</f>
        <v>3.5710221848418268E-3</v>
      </c>
      <c r="AJ60" s="17"/>
      <c r="AK60" s="4" t="s">
        <v>117</v>
      </c>
      <c r="AL60" s="45"/>
      <c r="AM60" s="403">
        <f>(AL45*AM45)+(AL47*AM47)</f>
        <v>6</v>
      </c>
      <c r="AN60" s="61">
        <f>'Standard Vorgaben'!$C$31</f>
        <v>32.700000000000003</v>
      </c>
      <c r="AO60" s="43">
        <f t="shared" si="51"/>
        <v>196.20000000000002</v>
      </c>
      <c r="AP60" s="42">
        <f>AO60/$AO$73</f>
        <v>3.4896869009071688E-3</v>
      </c>
      <c r="AQ60" s="17"/>
      <c r="AR60" s="4" t="s">
        <v>117</v>
      </c>
      <c r="AS60" s="45"/>
      <c r="AT60" s="403">
        <f>(AS45*AT45)+(AS47*AT47)</f>
        <v>6</v>
      </c>
      <c r="AU60" s="61">
        <f>'Standard Vorgaben'!$C$31</f>
        <v>32.700000000000003</v>
      </c>
      <c r="AV60" s="43">
        <f t="shared" si="52"/>
        <v>196.20000000000002</v>
      </c>
      <c r="AW60" s="42">
        <f>AV60/$AV$73</f>
        <v>3.5956629490128478E-3</v>
      </c>
      <c r="AX60" s="17"/>
      <c r="AY60" s="4" t="s">
        <v>117</v>
      </c>
      <c r="AZ60" s="45"/>
      <c r="BA60" s="403">
        <f>(AZ45*BA45)+(AZ47*BA47)</f>
        <v>6</v>
      </c>
      <c r="BB60" s="61">
        <f>'Standard Vorgaben'!$C$31</f>
        <v>32.700000000000003</v>
      </c>
      <c r="BC60" s="43">
        <f t="shared" si="53"/>
        <v>196.20000000000002</v>
      </c>
      <c r="BD60" s="42">
        <f>BC60/$BC$73</f>
        <v>3.6087186002330793E-3</v>
      </c>
      <c r="BE60" s="17"/>
      <c r="BF60" s="4" t="s">
        <v>117</v>
      </c>
      <c r="BG60" s="45"/>
      <c r="BH60" s="403">
        <f>(BG45*BH45)+(BG47*BH47)</f>
        <v>6</v>
      </c>
      <c r="BI60" s="61">
        <f>'Standard Vorgaben'!$C$31</f>
        <v>32.700000000000003</v>
      </c>
      <c r="BJ60" s="43">
        <f t="shared" si="54"/>
        <v>196.20000000000002</v>
      </c>
      <c r="BK60" s="42">
        <f>BJ60/$BJ$73</f>
        <v>1.9558832928545859E-3</v>
      </c>
      <c r="BL60" s="17"/>
      <c r="BM60" s="4" t="s">
        <v>117</v>
      </c>
      <c r="BN60" s="45"/>
      <c r="BO60" s="403">
        <f>(BN45*BO45)+(BN47*BO47)</f>
        <v>6</v>
      </c>
      <c r="BP60" s="61">
        <f>'Standard Vorgaben'!$C$31</f>
        <v>32.700000000000003</v>
      </c>
      <c r="BQ60" s="43">
        <f t="shared" si="55"/>
        <v>196.20000000000002</v>
      </c>
      <c r="BR60" s="42">
        <f>BQ60/$BQ$73</f>
        <v>3.327495318576242E-3</v>
      </c>
      <c r="BS60" s="17"/>
      <c r="BT60" s="4" t="s">
        <v>117</v>
      </c>
      <c r="BU60" s="45"/>
      <c r="BV60" s="403">
        <f>(BU45*BV45)+(BU47*BV47)</f>
        <v>6</v>
      </c>
      <c r="BW60" s="61">
        <f>'Standard Vorgaben'!$C$31</f>
        <v>32.700000000000003</v>
      </c>
      <c r="BX60" s="43">
        <f t="shared" si="56"/>
        <v>196.20000000000002</v>
      </c>
      <c r="BY60" s="42">
        <f>BX60/$BX$73</f>
        <v>3.6182153610885793E-3</v>
      </c>
      <c r="BZ60" s="17"/>
      <c r="CA60" s="4" t="s">
        <v>117</v>
      </c>
      <c r="CB60" s="45"/>
      <c r="CC60" s="403">
        <f>(CB45*CC45)+(CB47*CC47)</f>
        <v>6</v>
      </c>
      <c r="CD60" s="61">
        <f>'Standard Vorgaben'!$C$31</f>
        <v>32.700000000000003</v>
      </c>
      <c r="CE60" s="43">
        <f t="shared" si="57"/>
        <v>196.20000000000002</v>
      </c>
      <c r="CF60" s="42">
        <f>CE60/$CE$73</f>
        <v>3.5351519815101642E-3</v>
      </c>
      <c r="CG60" s="17"/>
      <c r="CH60" s="4" t="s">
        <v>117</v>
      </c>
      <c r="CI60" s="45"/>
      <c r="CJ60" s="403">
        <f>(CI45*CJ45)+(CI47*CJ47)</f>
        <v>6</v>
      </c>
      <c r="CK60" s="61">
        <f>'Standard Vorgaben'!$C$31</f>
        <v>32.700000000000003</v>
      </c>
      <c r="CL60" s="43">
        <f t="shared" si="58"/>
        <v>196.20000000000002</v>
      </c>
      <c r="CM60" s="42">
        <f>CL60/$CL$73</f>
        <v>3.644390940677561E-3</v>
      </c>
      <c r="CN60" s="17"/>
      <c r="CO60" s="4" t="s">
        <v>117</v>
      </c>
      <c r="CP60" s="45"/>
      <c r="CQ60" s="403">
        <f>(CP45*CQ45)+(CP47*CQ47)</f>
        <v>6</v>
      </c>
      <c r="CR60" s="61">
        <f>'Standard Vorgaben'!$C$31</f>
        <v>32.700000000000003</v>
      </c>
      <c r="CS60" s="43">
        <f t="shared" si="59"/>
        <v>196.20000000000002</v>
      </c>
      <c r="CT60" s="42">
        <f>CS60/$CS$73</f>
        <v>3.6582513345708276E-3</v>
      </c>
      <c r="CU60" s="17"/>
      <c r="CV60" s="4" t="s">
        <v>117</v>
      </c>
      <c r="CW60" s="45"/>
      <c r="CX60" s="403">
        <f>(CW45*CX45)+(CW47*CX47)</f>
        <v>6</v>
      </c>
      <c r="CY60" s="61">
        <f>'Standard Vorgaben'!$C$31</f>
        <v>32.700000000000003</v>
      </c>
      <c r="CZ60" s="43">
        <f t="shared" si="60"/>
        <v>196.20000000000002</v>
      </c>
      <c r="DA60" s="42">
        <f>CZ60/$CZ$73</f>
        <v>3.5737087700670961E-3</v>
      </c>
      <c r="DB60" s="17"/>
      <c r="DC60" s="4" t="s">
        <v>117</v>
      </c>
      <c r="DD60" s="45"/>
      <c r="DE60" s="403">
        <f>(DD45*DE45)+(DD47*DE47)</f>
        <v>6</v>
      </c>
      <c r="DF60" s="61">
        <f>'Standard Vorgaben'!$C$31</f>
        <v>32.700000000000003</v>
      </c>
      <c r="DG60" s="43">
        <f t="shared" si="61"/>
        <v>196.20000000000002</v>
      </c>
      <c r="DH60" s="42">
        <f>DG60/$DG$73</f>
        <v>3.31239983350106E-3</v>
      </c>
    </row>
    <row r="61" spans="1:112" ht="12" customHeight="1" x14ac:dyDescent="0.2">
      <c r="B61" s="20" t="s">
        <v>557</v>
      </c>
      <c r="C61" s="1"/>
      <c r="D61" s="46">
        <f>'Standard Vorgaben'!E88</f>
        <v>0</v>
      </c>
      <c r="E61" s="61">
        <f>'Standard Vorgaben'!$C$30</f>
        <v>22.62</v>
      </c>
      <c r="F61" s="43">
        <f t="shared" si="45"/>
        <v>0</v>
      </c>
      <c r="G61" s="42">
        <f>F61/$F$73</f>
        <v>0</v>
      </c>
      <c r="H61" s="17"/>
      <c r="I61" s="4" t="s">
        <v>557</v>
      </c>
      <c r="J61" s="1"/>
      <c r="K61" s="46">
        <f>'Standard Vorgaben'!E89</f>
        <v>0</v>
      </c>
      <c r="L61" s="61">
        <f>'Standard Vorgaben'!$C$30</f>
        <v>22.62</v>
      </c>
      <c r="M61" s="43">
        <f t="shared" si="47"/>
        <v>0</v>
      </c>
      <c r="N61" s="42">
        <f>M61/$M$73</f>
        <v>0</v>
      </c>
      <c r="O61" s="3"/>
      <c r="P61" s="4" t="s">
        <v>557</v>
      </c>
      <c r="Q61" s="1"/>
      <c r="R61" s="46">
        <f>'Standard Vorgaben'!$E$87</f>
        <v>0</v>
      </c>
      <c r="S61" s="61">
        <f>'Standard Vorgaben'!$C$30</f>
        <v>22.62</v>
      </c>
      <c r="T61" s="43">
        <f t="shared" si="48"/>
        <v>0</v>
      </c>
      <c r="U61" s="42">
        <f t="shared" si="46"/>
        <v>0</v>
      </c>
      <c r="V61" s="17"/>
      <c r="W61" s="4" t="s">
        <v>557</v>
      </c>
      <c r="X61" s="1"/>
      <c r="Y61" s="46">
        <f>'Standard Vorgaben'!$E$87</f>
        <v>0</v>
      </c>
      <c r="Z61" s="61">
        <f>'Standard Vorgaben'!$C$30</f>
        <v>22.62</v>
      </c>
      <c r="AA61" s="43">
        <f t="shared" si="49"/>
        <v>0</v>
      </c>
      <c r="AB61" s="42">
        <f>AA61/$AA$73</f>
        <v>0</v>
      </c>
      <c r="AC61" s="17"/>
      <c r="AD61" s="4" t="s">
        <v>557</v>
      </c>
      <c r="AE61" s="1"/>
      <c r="AF61" s="46">
        <f>'Standard Vorgaben'!$E$87</f>
        <v>0</v>
      </c>
      <c r="AG61" s="61">
        <f>'Standard Vorgaben'!$C$30</f>
        <v>22.62</v>
      </c>
      <c r="AH61" s="43">
        <f t="shared" si="50"/>
        <v>0</v>
      </c>
      <c r="AI61" s="42">
        <f>AH61/$AH$73</f>
        <v>0</v>
      </c>
      <c r="AJ61" s="17"/>
      <c r="AK61" s="4" t="s">
        <v>557</v>
      </c>
      <c r="AL61" s="1"/>
      <c r="AM61" s="46">
        <f>'Standard Vorgaben'!$E$87</f>
        <v>0</v>
      </c>
      <c r="AN61" s="61">
        <f>'Standard Vorgaben'!$C$30</f>
        <v>22.62</v>
      </c>
      <c r="AO61" s="43">
        <f t="shared" si="51"/>
        <v>0</v>
      </c>
      <c r="AP61" s="42">
        <f>AO61/$AO$73</f>
        <v>0</v>
      </c>
      <c r="AQ61" s="17"/>
      <c r="AR61" s="4" t="s">
        <v>557</v>
      </c>
      <c r="AS61" s="1"/>
      <c r="AT61" s="46">
        <f>'Standard Vorgaben'!$E$87</f>
        <v>0</v>
      </c>
      <c r="AU61" s="61">
        <f>'Standard Vorgaben'!$C$30</f>
        <v>22.62</v>
      </c>
      <c r="AV61" s="43">
        <f t="shared" si="52"/>
        <v>0</v>
      </c>
      <c r="AW61" s="42">
        <f>AV61/$AV$73</f>
        <v>0</v>
      </c>
      <c r="AX61" s="17"/>
      <c r="AY61" s="4" t="s">
        <v>557</v>
      </c>
      <c r="AZ61" s="1"/>
      <c r="BA61" s="46">
        <f>'Standard Vorgaben'!$E$87</f>
        <v>0</v>
      </c>
      <c r="BB61" s="61">
        <f>'Standard Vorgaben'!$C$30</f>
        <v>22.62</v>
      </c>
      <c r="BC61" s="43">
        <f t="shared" si="53"/>
        <v>0</v>
      </c>
      <c r="BD61" s="42">
        <f>BC61/$BC$73</f>
        <v>0</v>
      </c>
      <c r="BE61" s="17"/>
      <c r="BF61" s="4" t="s">
        <v>557</v>
      </c>
      <c r="BG61" s="1"/>
      <c r="BH61" s="46">
        <f>'Standard Vorgaben'!$E$87</f>
        <v>0</v>
      </c>
      <c r="BI61" s="61">
        <f>'Standard Vorgaben'!$C$30</f>
        <v>22.62</v>
      </c>
      <c r="BJ61" s="43">
        <f t="shared" si="54"/>
        <v>0</v>
      </c>
      <c r="BK61" s="42">
        <f>BJ61/$BJ$73</f>
        <v>0</v>
      </c>
      <c r="BL61" s="17"/>
      <c r="BM61" s="4" t="s">
        <v>557</v>
      </c>
      <c r="BN61" s="1"/>
      <c r="BO61" s="46">
        <f>'Standard Vorgaben'!$E$87</f>
        <v>0</v>
      </c>
      <c r="BP61" s="61">
        <f>'Standard Vorgaben'!$C$30</f>
        <v>22.62</v>
      </c>
      <c r="BQ61" s="43">
        <f t="shared" si="55"/>
        <v>0</v>
      </c>
      <c r="BR61" s="42">
        <f>BQ61/$BQ$73</f>
        <v>0</v>
      </c>
      <c r="BS61" s="17"/>
      <c r="BT61" s="4" t="s">
        <v>557</v>
      </c>
      <c r="BU61" s="1"/>
      <c r="BV61" s="46">
        <f>'Standard Vorgaben'!$E$87</f>
        <v>0</v>
      </c>
      <c r="BW61" s="61">
        <f>'Standard Vorgaben'!$C$30</f>
        <v>22.62</v>
      </c>
      <c r="BX61" s="43">
        <f t="shared" si="56"/>
        <v>0</v>
      </c>
      <c r="BY61" s="42">
        <f>BX61/$BX$73</f>
        <v>0</v>
      </c>
      <c r="BZ61" s="17"/>
      <c r="CA61" s="4" t="s">
        <v>557</v>
      </c>
      <c r="CB61" s="1"/>
      <c r="CC61" s="46">
        <f>'Standard Vorgaben'!$E$87</f>
        <v>0</v>
      </c>
      <c r="CD61" s="61">
        <f>'Standard Vorgaben'!$C$30</f>
        <v>22.62</v>
      </c>
      <c r="CE61" s="43">
        <f t="shared" si="57"/>
        <v>0</v>
      </c>
      <c r="CF61" s="42">
        <f>CE61/$CE$73</f>
        <v>0</v>
      </c>
      <c r="CG61" s="17"/>
      <c r="CH61" s="4" t="s">
        <v>557</v>
      </c>
      <c r="CI61" s="1"/>
      <c r="CJ61" s="46">
        <f>'Standard Vorgaben'!$E$87</f>
        <v>0</v>
      </c>
      <c r="CK61" s="61">
        <f>'Standard Vorgaben'!$C$30</f>
        <v>22.62</v>
      </c>
      <c r="CL61" s="43">
        <f t="shared" si="58"/>
        <v>0</v>
      </c>
      <c r="CM61" s="42">
        <f>CL61/$CL$73</f>
        <v>0</v>
      </c>
      <c r="CN61" s="17"/>
      <c r="CO61" s="4" t="s">
        <v>557</v>
      </c>
      <c r="CP61" s="1"/>
      <c r="CQ61" s="46">
        <f>'Standard Vorgaben'!$E$87</f>
        <v>0</v>
      </c>
      <c r="CR61" s="61">
        <f>'Standard Vorgaben'!$C$30</f>
        <v>22.62</v>
      </c>
      <c r="CS61" s="43">
        <f t="shared" si="59"/>
        <v>0</v>
      </c>
      <c r="CT61" s="42">
        <f>CS61/$CS$73</f>
        <v>0</v>
      </c>
      <c r="CU61" s="17"/>
      <c r="CV61" s="4" t="s">
        <v>557</v>
      </c>
      <c r="CW61" s="1"/>
      <c r="CX61" s="46">
        <f>'Standard Vorgaben'!$E$87</f>
        <v>0</v>
      </c>
      <c r="CY61" s="61">
        <f>'Standard Vorgaben'!$C$30</f>
        <v>22.62</v>
      </c>
      <c r="CZ61" s="43">
        <f t="shared" si="60"/>
        <v>0</v>
      </c>
      <c r="DA61" s="42">
        <f>CZ61/$CZ$73</f>
        <v>0</v>
      </c>
      <c r="DB61" s="17"/>
      <c r="DC61" s="4" t="s">
        <v>557</v>
      </c>
      <c r="DD61" s="1"/>
      <c r="DE61" s="46">
        <f>'Standard Vorgaben'!$E$87</f>
        <v>0</v>
      </c>
      <c r="DF61" s="61">
        <f>'Standard Vorgaben'!$C$30</f>
        <v>22.62</v>
      </c>
      <c r="DG61" s="43">
        <f t="shared" si="61"/>
        <v>0</v>
      </c>
      <c r="DH61" s="42">
        <f>DG61/$DG$73</f>
        <v>0</v>
      </c>
    </row>
    <row r="62" spans="1:112" x14ac:dyDescent="0.2">
      <c r="B62" s="4" t="s">
        <v>531</v>
      </c>
      <c r="C62" s="250"/>
      <c r="D62" s="46">
        <v>0</v>
      </c>
      <c r="E62" s="61">
        <f>'Standard Vorgaben'!$C$30</f>
        <v>22.62</v>
      </c>
      <c r="F62" s="43">
        <f t="shared" si="45"/>
        <v>0</v>
      </c>
      <c r="G62" s="42">
        <f t="shared" ref="G62:G73" si="62">F62/$F$73</f>
        <v>0</v>
      </c>
      <c r="H62" s="17"/>
      <c r="I62" s="4" t="s">
        <v>531</v>
      </c>
      <c r="J62" s="250"/>
      <c r="K62" s="46">
        <v>0</v>
      </c>
      <c r="L62" s="61">
        <f>'Standard Vorgaben'!$C$30</f>
        <v>22.62</v>
      </c>
      <c r="M62" s="43">
        <f t="shared" si="47"/>
        <v>0</v>
      </c>
      <c r="N62" s="42">
        <f t="shared" ref="N62:N73" si="63">M62/$M$73</f>
        <v>0</v>
      </c>
      <c r="O62" s="3"/>
      <c r="P62" s="1351" t="s">
        <v>223</v>
      </c>
      <c r="Q62" s="250"/>
      <c r="R62" s="182">
        <f>'Standard Erstellung'!D121+'Standard Erstellung'!D122+'Standard Erstellung'!D129</f>
        <v>200</v>
      </c>
      <c r="S62" s="61">
        <f>'Standard Vorgaben'!$C$30</f>
        <v>22.62</v>
      </c>
      <c r="T62" s="43">
        <f t="shared" si="48"/>
        <v>4524</v>
      </c>
      <c r="U62" s="42">
        <f t="shared" si="46"/>
        <v>5.2815957109340964E-2</v>
      </c>
      <c r="V62" s="17"/>
      <c r="W62" s="4" t="s">
        <v>531</v>
      </c>
      <c r="X62" s="250"/>
      <c r="Y62" s="45">
        <f>'Standard Erstellung'!$D$128+'Standard Erstellung'!$D$129</f>
        <v>40</v>
      </c>
      <c r="Z62" s="61">
        <f>'Standard Vorgaben'!$C$30</f>
        <v>22.62</v>
      </c>
      <c r="AA62" s="43">
        <f t="shared" si="49"/>
        <v>904.80000000000007</v>
      </c>
      <c r="AB62" s="42">
        <f t="shared" ref="AB62:AB73" si="64">AA62/$AA$73</f>
        <v>2.6907060288950256E-2</v>
      </c>
      <c r="AC62" s="17"/>
      <c r="AD62" s="4" t="s">
        <v>531</v>
      </c>
      <c r="AE62" s="250"/>
      <c r="AF62" s="45">
        <f>'Standard Erstellung'!$D$128+'Standard Erstellung'!$D$129</f>
        <v>40</v>
      </c>
      <c r="AG62" s="61">
        <f>'Standard Vorgaben'!$C$30</f>
        <v>22.62</v>
      </c>
      <c r="AH62" s="43">
        <f t="shared" si="50"/>
        <v>904.80000000000007</v>
      </c>
      <c r="AI62" s="42">
        <f t="shared" ref="AI62:AI73" si="65">AH62/$AH$73</f>
        <v>1.6468200167405123E-2</v>
      </c>
      <c r="AJ62" s="17"/>
      <c r="AK62" s="4" t="s">
        <v>531</v>
      </c>
      <c r="AL62" s="250"/>
      <c r="AM62" s="45">
        <f>'Standard Erstellung'!$D$128+'Standard Erstellung'!$D$129</f>
        <v>40</v>
      </c>
      <c r="AN62" s="61">
        <f>'Standard Vorgaben'!$C$30</f>
        <v>22.62</v>
      </c>
      <c r="AO62" s="43">
        <f t="shared" si="51"/>
        <v>904.80000000000007</v>
      </c>
      <c r="AP62" s="42">
        <f t="shared" ref="AP62:AP73" si="66">AO62/$AO$73</f>
        <v>1.6093112680636117E-2</v>
      </c>
      <c r="AQ62" s="17"/>
      <c r="AR62" s="4" t="s">
        <v>531</v>
      </c>
      <c r="AS62" s="250"/>
      <c r="AT62" s="45">
        <f>'Standard Erstellung'!$D$128+'Standard Erstellung'!$D$129</f>
        <v>40</v>
      </c>
      <c r="AU62" s="61">
        <f>'Standard Vorgaben'!$C$30</f>
        <v>22.62</v>
      </c>
      <c r="AV62" s="43">
        <f t="shared" si="52"/>
        <v>904.80000000000007</v>
      </c>
      <c r="AW62" s="42">
        <f t="shared" ref="AW62:AW73" si="67">AV62/$AV$73</f>
        <v>1.6581834027863531E-2</v>
      </c>
      <c r="AX62" s="17"/>
      <c r="AY62" s="4" t="s">
        <v>531</v>
      </c>
      <c r="AZ62" s="250"/>
      <c r="BA62" s="45">
        <f>'Standard Erstellung'!$D$128+'Standard Erstellung'!$D$129</f>
        <v>40</v>
      </c>
      <c r="BB62" s="61">
        <f>'Standard Vorgaben'!$C$30</f>
        <v>22.62</v>
      </c>
      <c r="BC62" s="43">
        <f t="shared" si="53"/>
        <v>904.80000000000007</v>
      </c>
      <c r="BD62" s="42">
        <f t="shared" ref="BD62:BD73" si="68">BC62/$BC$73</f>
        <v>1.6642041740524416E-2</v>
      </c>
      <c r="BE62" s="17"/>
      <c r="BF62" s="1351" t="s">
        <v>204</v>
      </c>
      <c r="BG62" s="250"/>
      <c r="BH62" s="182">
        <f>'Standard Erstellung'!$D$164+'Standard Erstellung'!$D$129</f>
        <v>150</v>
      </c>
      <c r="BI62" s="61">
        <f>'Standard Vorgaben'!$C$30</f>
        <v>22.62</v>
      </c>
      <c r="BJ62" s="43">
        <f t="shared" si="54"/>
        <v>3393</v>
      </c>
      <c r="BK62" s="42">
        <f t="shared" ref="BK62:BK73" si="69">BJ62/$BJ$73</f>
        <v>3.3824220247989853E-2</v>
      </c>
      <c r="BL62" s="17"/>
      <c r="BM62" s="4" t="s">
        <v>531</v>
      </c>
      <c r="BN62" s="250"/>
      <c r="BO62" s="45">
        <f>'Standard Erstellung'!$D$128+'Standard Erstellung'!$D$129</f>
        <v>40</v>
      </c>
      <c r="BP62" s="61">
        <f>'Standard Vorgaben'!$C$30</f>
        <v>22.62</v>
      </c>
      <c r="BQ62" s="43">
        <f t="shared" si="55"/>
        <v>904.80000000000007</v>
      </c>
      <c r="BR62" s="42">
        <f t="shared" ref="BR62:BR73" si="70">BQ62/$BQ$73</f>
        <v>1.5345146606767501E-2</v>
      </c>
      <c r="BS62" s="17"/>
      <c r="BT62" s="4" t="s">
        <v>531</v>
      </c>
      <c r="BU62" s="250"/>
      <c r="BV62" s="45">
        <f>'Standard Erstellung'!$D$128+'Standard Erstellung'!$D$129</f>
        <v>40</v>
      </c>
      <c r="BW62" s="61">
        <f>'Standard Vorgaben'!$C$30</f>
        <v>22.62</v>
      </c>
      <c r="BX62" s="43">
        <f t="shared" si="56"/>
        <v>904.80000000000007</v>
      </c>
      <c r="BY62" s="42">
        <f t="shared" ref="BY62:BY73" si="71">BX62/$BX$73</f>
        <v>1.6685837200371798E-2</v>
      </c>
      <c r="BZ62" s="17"/>
      <c r="CA62" s="4" t="s">
        <v>531</v>
      </c>
      <c r="CB62" s="250"/>
      <c r="CC62" s="45">
        <f>'Standard Erstellung'!$D$128+'Standard Erstellung'!$D$129</f>
        <v>40</v>
      </c>
      <c r="CD62" s="61">
        <f>'Standard Vorgaben'!$C$30</f>
        <v>22.62</v>
      </c>
      <c r="CE62" s="43">
        <f t="shared" si="57"/>
        <v>904.80000000000007</v>
      </c>
      <c r="CF62" s="42">
        <f t="shared" ref="CF62:CF73" si="72">CE62/$CE$73</f>
        <v>1.6302780391796109E-2</v>
      </c>
      <c r="CG62" s="17"/>
      <c r="CH62" s="4" t="s">
        <v>531</v>
      </c>
      <c r="CI62" s="250"/>
      <c r="CJ62" s="45">
        <f>'Standard Erstellung'!$D$128+'Standard Erstellung'!$D$129</f>
        <v>40</v>
      </c>
      <c r="CK62" s="61">
        <f>'Standard Vorgaben'!$C$30</f>
        <v>22.62</v>
      </c>
      <c r="CL62" s="43">
        <f t="shared" si="58"/>
        <v>904.80000000000007</v>
      </c>
      <c r="CM62" s="42">
        <f t="shared" ref="CM62:CM73" si="73">CL62/$CL$73</f>
        <v>1.6806549047528322E-2</v>
      </c>
      <c r="CN62" s="17"/>
      <c r="CO62" s="4" t="s">
        <v>531</v>
      </c>
      <c r="CP62" s="250"/>
      <c r="CQ62" s="45">
        <f>'Standard Erstellung'!$D$128+'Standard Erstellung'!$D$129</f>
        <v>40</v>
      </c>
      <c r="CR62" s="61">
        <f>'Standard Vorgaben'!$C$30</f>
        <v>22.62</v>
      </c>
      <c r="CS62" s="43">
        <f t="shared" si="59"/>
        <v>904.80000000000007</v>
      </c>
      <c r="CT62" s="42">
        <f t="shared" ref="CT62:CT73" si="74">CS62/$CS$73</f>
        <v>1.6870467928234885E-2</v>
      </c>
      <c r="CU62" s="17"/>
      <c r="CV62" s="4" t="s">
        <v>531</v>
      </c>
      <c r="CW62" s="250"/>
      <c r="CX62" s="45">
        <f>'Standard Erstellung'!$D$128+'Standard Erstellung'!$D$129</f>
        <v>40</v>
      </c>
      <c r="CY62" s="61">
        <f>'Standard Vorgaben'!$C$30</f>
        <v>22.62</v>
      </c>
      <c r="CZ62" s="43">
        <f t="shared" si="60"/>
        <v>904.80000000000007</v>
      </c>
      <c r="DA62" s="42">
        <f t="shared" ref="DA62:DA73" si="75">CZ62/$CZ$73</f>
        <v>1.6480589679697802E-2</v>
      </c>
      <c r="DB62" s="17"/>
      <c r="DC62" s="4" t="s">
        <v>531</v>
      </c>
      <c r="DD62" s="250"/>
      <c r="DE62" s="45">
        <f>'Standard Erstellung'!$D$128+'Standard Erstellung'!$D$129</f>
        <v>40</v>
      </c>
      <c r="DF62" s="61">
        <f>'Standard Vorgaben'!$C$30</f>
        <v>22.62</v>
      </c>
      <c r="DG62" s="43">
        <f t="shared" si="61"/>
        <v>904.80000000000007</v>
      </c>
      <c r="DH62" s="42">
        <f t="shared" ref="DH62:DH73" si="76">DG62/$DG$73</f>
        <v>1.5275531953882563E-2</v>
      </c>
    </row>
    <row r="63" spans="1:112" x14ac:dyDescent="0.2">
      <c r="B63" t="s">
        <v>509</v>
      </c>
      <c r="C63" s="250"/>
      <c r="D63" s="46">
        <v>0</v>
      </c>
      <c r="E63" s="61">
        <f>'Standard Vorgaben'!$C$30</f>
        <v>22.62</v>
      </c>
      <c r="F63" s="43">
        <f t="shared" si="45"/>
        <v>0</v>
      </c>
      <c r="G63" s="42">
        <f t="shared" si="62"/>
        <v>0</v>
      </c>
      <c r="H63" s="17"/>
      <c r="I63" s="20" t="s">
        <v>509</v>
      </c>
      <c r="J63" s="250"/>
      <c r="K63" s="46">
        <v>0</v>
      </c>
      <c r="L63" s="61">
        <f>'Standard Vorgaben'!$C$30</f>
        <v>22.62</v>
      </c>
      <c r="M63" s="43">
        <f t="shared" si="47"/>
        <v>0</v>
      </c>
      <c r="N63" s="42">
        <f t="shared" si="63"/>
        <v>0</v>
      </c>
      <c r="O63" s="3"/>
      <c r="P63" t="s">
        <v>509</v>
      </c>
      <c r="Q63" s="250"/>
      <c r="R63" s="45">
        <f>'Standard Erstellung'!$E$139</f>
        <v>0</v>
      </c>
      <c r="S63" s="61">
        <f>'Standard Vorgaben'!$C$30</f>
        <v>22.62</v>
      </c>
      <c r="T63" s="43">
        <f>R63*S63</f>
        <v>0</v>
      </c>
      <c r="U63" s="42">
        <f t="shared" si="46"/>
        <v>0</v>
      </c>
      <c r="V63" s="17"/>
      <c r="W63" t="s">
        <v>509</v>
      </c>
      <c r="X63" s="250"/>
      <c r="Y63" s="45">
        <f>'Standard Erstellung'!$E$139</f>
        <v>0</v>
      </c>
      <c r="Z63" s="61">
        <f>'Standard Vorgaben'!$C$30</f>
        <v>22.62</v>
      </c>
      <c r="AA63" s="43">
        <f>Y63*Z63</f>
        <v>0</v>
      </c>
      <c r="AB63" s="42">
        <f t="shared" si="64"/>
        <v>0</v>
      </c>
      <c r="AC63" s="17"/>
      <c r="AD63" t="s">
        <v>509</v>
      </c>
      <c r="AE63" s="250"/>
      <c r="AF63" s="45">
        <f>'Standard Erstellung'!$E$139</f>
        <v>0</v>
      </c>
      <c r="AG63" s="61">
        <f>'Standard Vorgaben'!$C$30</f>
        <v>22.62</v>
      </c>
      <c r="AH63" s="43">
        <f>AF63*AG63</f>
        <v>0</v>
      </c>
      <c r="AI63" s="42">
        <f t="shared" si="65"/>
        <v>0</v>
      </c>
      <c r="AJ63" s="17"/>
      <c r="AK63" t="s">
        <v>509</v>
      </c>
      <c r="AL63" s="250"/>
      <c r="AM63" s="45">
        <f>'Standard Erstellung'!$E$139</f>
        <v>0</v>
      </c>
      <c r="AN63" s="61">
        <f>'Standard Vorgaben'!$C$30</f>
        <v>22.62</v>
      </c>
      <c r="AO63" s="43">
        <f>AM63*AN63</f>
        <v>0</v>
      </c>
      <c r="AP63" s="42">
        <f t="shared" si="66"/>
        <v>0</v>
      </c>
      <c r="AQ63" s="17"/>
      <c r="AR63" t="s">
        <v>509</v>
      </c>
      <c r="AS63" s="250"/>
      <c r="AT63" s="45">
        <f>'Standard Erstellung'!$E$139</f>
        <v>0</v>
      </c>
      <c r="AU63" s="61">
        <f>'Standard Vorgaben'!$C$30</f>
        <v>22.62</v>
      </c>
      <c r="AV63" s="43">
        <f>AT63*AU63</f>
        <v>0</v>
      </c>
      <c r="AW63" s="42">
        <f t="shared" si="67"/>
        <v>0</v>
      </c>
      <c r="AX63" s="17"/>
      <c r="AY63" t="s">
        <v>509</v>
      </c>
      <c r="AZ63" s="250"/>
      <c r="BA63" s="45">
        <f>'Standard Erstellung'!$E$139</f>
        <v>0</v>
      </c>
      <c r="BB63" s="61">
        <f>'Standard Vorgaben'!$C$30</f>
        <v>22.62</v>
      </c>
      <c r="BC63" s="43">
        <f>BA63*BB63</f>
        <v>0</v>
      </c>
      <c r="BD63" s="42">
        <f t="shared" si="68"/>
        <v>0</v>
      </c>
      <c r="BE63" s="17"/>
      <c r="BF63" t="s">
        <v>509</v>
      </c>
      <c r="BG63" s="250"/>
      <c r="BH63" s="45">
        <f>'Standard Erstellung'!$E$139</f>
        <v>0</v>
      </c>
      <c r="BI63" s="61">
        <f>'Standard Vorgaben'!$C$30</f>
        <v>22.62</v>
      </c>
      <c r="BJ63" s="43">
        <f>BH63*BI63</f>
        <v>0</v>
      </c>
      <c r="BK63" s="42">
        <f t="shared" si="69"/>
        <v>0</v>
      </c>
      <c r="BL63" s="17"/>
      <c r="BM63" s="1353" t="s">
        <v>532</v>
      </c>
      <c r="BN63" s="250"/>
      <c r="BO63" s="45">
        <f>'Standard Erstellung'!D182+('Standard Erstellung'!E139/2)</f>
        <v>0</v>
      </c>
      <c r="BP63" s="61">
        <f>'Standard Vorgaben'!$C$30</f>
        <v>22.62</v>
      </c>
      <c r="BQ63" s="43">
        <f>BO63*BP63</f>
        <v>0</v>
      </c>
      <c r="BR63" s="42">
        <f t="shared" si="70"/>
        <v>0</v>
      </c>
      <c r="BS63" s="17"/>
      <c r="BT63" t="s">
        <v>509</v>
      </c>
      <c r="BU63" s="250"/>
      <c r="BV63" s="45">
        <f>'Standard Erstellung'!$E$139</f>
        <v>0</v>
      </c>
      <c r="BW63" s="61">
        <f>'Standard Vorgaben'!$C$30</f>
        <v>22.62</v>
      </c>
      <c r="BX63" s="43">
        <f>BV63*BW63</f>
        <v>0</v>
      </c>
      <c r="BY63" s="42">
        <f t="shared" si="71"/>
        <v>0</v>
      </c>
      <c r="BZ63" s="17"/>
      <c r="CA63" t="s">
        <v>509</v>
      </c>
      <c r="CB63" s="250"/>
      <c r="CC63" s="45">
        <f>'Standard Erstellung'!$E$139</f>
        <v>0</v>
      </c>
      <c r="CD63" s="61">
        <f>'Standard Vorgaben'!$C$30</f>
        <v>22.62</v>
      </c>
      <c r="CE63" s="43">
        <f>CC63*CD63</f>
        <v>0</v>
      </c>
      <c r="CF63" s="42">
        <f t="shared" si="72"/>
        <v>0</v>
      </c>
      <c r="CG63" s="17"/>
      <c r="CH63" t="s">
        <v>509</v>
      </c>
      <c r="CI63" s="250"/>
      <c r="CJ63" s="45">
        <f>'Standard Erstellung'!$E$139</f>
        <v>0</v>
      </c>
      <c r="CK63" s="61">
        <f>'Standard Vorgaben'!$C$30</f>
        <v>22.62</v>
      </c>
      <c r="CL63" s="43">
        <f>CJ63*CK63</f>
        <v>0</v>
      </c>
      <c r="CM63" s="42">
        <f t="shared" si="73"/>
        <v>0</v>
      </c>
      <c r="CN63" s="17"/>
      <c r="CO63" t="s">
        <v>509</v>
      </c>
      <c r="CP63" s="250"/>
      <c r="CQ63" s="45">
        <f>'Standard Erstellung'!$E$139</f>
        <v>0</v>
      </c>
      <c r="CR63" s="61">
        <f>'Standard Vorgaben'!$C$30</f>
        <v>22.62</v>
      </c>
      <c r="CS63" s="43">
        <f>CQ63*CR63</f>
        <v>0</v>
      </c>
      <c r="CT63" s="42">
        <f t="shared" si="74"/>
        <v>0</v>
      </c>
      <c r="CU63" s="17"/>
      <c r="CV63" t="s">
        <v>509</v>
      </c>
      <c r="CW63" s="250"/>
      <c r="CX63" s="45">
        <f>'Standard Erstellung'!$E$139</f>
        <v>0</v>
      </c>
      <c r="CY63" s="61">
        <f>'Standard Vorgaben'!$C$30</f>
        <v>22.62</v>
      </c>
      <c r="CZ63" s="43">
        <f>CX63*CY63</f>
        <v>0</v>
      </c>
      <c r="DA63" s="42">
        <f t="shared" si="75"/>
        <v>0</v>
      </c>
      <c r="DB63" s="17"/>
      <c r="DC63" t="s">
        <v>509</v>
      </c>
      <c r="DD63" s="250"/>
      <c r="DE63" s="45">
        <f>'Standard Erstellung'!$E$139</f>
        <v>0</v>
      </c>
      <c r="DF63" s="61">
        <f>'Standard Vorgaben'!$C$30</f>
        <v>22.62</v>
      </c>
      <c r="DG63" s="43">
        <f>DE63*DF63</f>
        <v>0</v>
      </c>
      <c r="DH63" s="42">
        <f t="shared" si="76"/>
        <v>0</v>
      </c>
    </row>
    <row r="64" spans="1:112" s="1" customFormat="1" x14ac:dyDescent="0.2">
      <c r="A64" s="3"/>
      <c r="B64" s="4" t="s">
        <v>527</v>
      </c>
      <c r="C64" s="250"/>
      <c r="D64" s="46">
        <v>0</v>
      </c>
      <c r="E64" s="61">
        <f>'Standard Vorgaben'!$C$30</f>
        <v>22.62</v>
      </c>
      <c r="F64" s="43">
        <f t="shared" si="45"/>
        <v>0</v>
      </c>
      <c r="G64" s="385">
        <f t="shared" si="62"/>
        <v>0</v>
      </c>
      <c r="H64" s="3"/>
      <c r="I64" s="4" t="s">
        <v>527</v>
      </c>
      <c r="J64" s="250"/>
      <c r="K64" s="46">
        <v>0</v>
      </c>
      <c r="L64" s="61">
        <f>'Standard Vorgaben'!$C$30</f>
        <v>22.62</v>
      </c>
      <c r="M64" s="43">
        <f t="shared" si="47"/>
        <v>0</v>
      </c>
      <c r="N64" s="385">
        <f t="shared" si="63"/>
        <v>0</v>
      </c>
      <c r="O64" s="3"/>
      <c r="P64" s="4" t="s">
        <v>527</v>
      </c>
      <c r="Q64" s="250"/>
      <c r="R64" s="45">
        <f>'Standard Erstellung'!$D$143</f>
        <v>20</v>
      </c>
      <c r="S64" s="61">
        <f>'Standard Vorgaben'!$C$30</f>
        <v>22.62</v>
      </c>
      <c r="T64" s="43">
        <f t="shared" si="48"/>
        <v>452.40000000000003</v>
      </c>
      <c r="U64" s="385">
        <f t="shared" si="46"/>
        <v>5.2815957109340972E-3</v>
      </c>
      <c r="V64" s="3"/>
      <c r="W64" s="4" t="s">
        <v>527</v>
      </c>
      <c r="X64" s="250"/>
      <c r="Y64" s="45">
        <f>'Standard Erstellung'!$D$143</f>
        <v>20</v>
      </c>
      <c r="Z64" s="61">
        <f>'Standard Vorgaben'!$C$30</f>
        <v>22.62</v>
      </c>
      <c r="AA64" s="43">
        <f t="shared" si="49"/>
        <v>452.40000000000003</v>
      </c>
      <c r="AB64" s="385">
        <f t="shared" si="64"/>
        <v>1.3453530144475128E-2</v>
      </c>
      <c r="AC64" s="3"/>
      <c r="AD64" s="4" t="s">
        <v>527</v>
      </c>
      <c r="AE64" s="250"/>
      <c r="AF64" s="45">
        <f>'Standard Erstellung'!$D$143</f>
        <v>20</v>
      </c>
      <c r="AG64" s="61">
        <f>'Standard Vorgaben'!$C$30</f>
        <v>22.62</v>
      </c>
      <c r="AH64" s="43">
        <f t="shared" si="50"/>
        <v>452.40000000000003</v>
      </c>
      <c r="AI64" s="385">
        <f t="shared" si="65"/>
        <v>8.2341000837025616E-3</v>
      </c>
      <c r="AJ64" s="3"/>
      <c r="AK64" s="4" t="s">
        <v>527</v>
      </c>
      <c r="AL64" s="250"/>
      <c r="AM64" s="45">
        <f>'Standard Erstellung'!$D$143</f>
        <v>20</v>
      </c>
      <c r="AN64" s="61">
        <f>'Standard Vorgaben'!$C$30</f>
        <v>22.62</v>
      </c>
      <c r="AO64" s="43">
        <f t="shared" si="51"/>
        <v>452.40000000000003</v>
      </c>
      <c r="AP64" s="385">
        <f t="shared" si="66"/>
        <v>8.0465563403180583E-3</v>
      </c>
      <c r="AQ64" s="3"/>
      <c r="AR64" s="4" t="s">
        <v>527</v>
      </c>
      <c r="AS64" s="250"/>
      <c r="AT64" s="45">
        <f>'Standard Erstellung'!$D$143</f>
        <v>20</v>
      </c>
      <c r="AU64" s="61">
        <f>'Standard Vorgaben'!$C$30</f>
        <v>22.62</v>
      </c>
      <c r="AV64" s="43">
        <f t="shared" si="52"/>
        <v>452.40000000000003</v>
      </c>
      <c r="AW64" s="385">
        <f t="shared" si="67"/>
        <v>8.2909170139317655E-3</v>
      </c>
      <c r="AX64" s="3"/>
      <c r="AY64" s="4" t="s">
        <v>527</v>
      </c>
      <c r="AZ64" s="250"/>
      <c r="BA64" s="45">
        <f>'Standard Erstellung'!$D$143</f>
        <v>20</v>
      </c>
      <c r="BB64" s="61">
        <f>'Standard Vorgaben'!$C$30</f>
        <v>22.62</v>
      </c>
      <c r="BC64" s="43">
        <f t="shared" si="53"/>
        <v>452.40000000000003</v>
      </c>
      <c r="BD64" s="385">
        <f t="shared" si="68"/>
        <v>8.3210208702622079E-3</v>
      </c>
      <c r="BE64" s="3"/>
      <c r="BF64" s="4" t="s">
        <v>527</v>
      </c>
      <c r="BG64" s="250"/>
      <c r="BH64" s="45">
        <f>'Standard Erstellung'!$D$143</f>
        <v>20</v>
      </c>
      <c r="BI64" s="61">
        <f>'Standard Vorgaben'!$C$30</f>
        <v>22.62</v>
      </c>
      <c r="BJ64" s="43">
        <f t="shared" si="54"/>
        <v>452.40000000000003</v>
      </c>
      <c r="BK64" s="385">
        <f t="shared" si="69"/>
        <v>4.5098960330653146E-3</v>
      </c>
      <c r="BL64" s="3"/>
      <c r="BM64" s="1351" t="s">
        <v>533</v>
      </c>
      <c r="BN64" s="250"/>
      <c r="BO64" s="45">
        <f>'Standard Erstellung'!D181+('Standard Erstellung'!D143/2)</f>
        <v>60</v>
      </c>
      <c r="BP64" s="61">
        <f>'Standard Vorgaben'!$C$30</f>
        <v>22.62</v>
      </c>
      <c r="BQ64" s="43">
        <f t="shared" si="55"/>
        <v>1357.2</v>
      </c>
      <c r="BR64" s="385">
        <f t="shared" si="70"/>
        <v>2.3017719910151248E-2</v>
      </c>
      <c r="BS64" s="3"/>
      <c r="BT64" s="4" t="s">
        <v>527</v>
      </c>
      <c r="BU64" s="250"/>
      <c r="BV64" s="45">
        <f>'Standard Erstellung'!$D$143</f>
        <v>20</v>
      </c>
      <c r="BW64" s="61">
        <f>'Standard Vorgaben'!$C$30</f>
        <v>22.62</v>
      </c>
      <c r="BX64" s="43">
        <f t="shared" si="56"/>
        <v>452.40000000000003</v>
      </c>
      <c r="BY64" s="385">
        <f t="shared" si="71"/>
        <v>8.3429186001858988E-3</v>
      </c>
      <c r="BZ64" s="3"/>
      <c r="CA64" s="4" t="s">
        <v>527</v>
      </c>
      <c r="CB64" s="250"/>
      <c r="CC64" s="45">
        <f>'Standard Erstellung'!$D$143</f>
        <v>20</v>
      </c>
      <c r="CD64" s="61">
        <f>'Standard Vorgaben'!$C$30</f>
        <v>22.62</v>
      </c>
      <c r="CE64" s="43">
        <f t="shared" si="57"/>
        <v>452.40000000000003</v>
      </c>
      <c r="CF64" s="385">
        <f t="shared" si="72"/>
        <v>8.1513901958980544E-3</v>
      </c>
      <c r="CG64" s="3"/>
      <c r="CH64" s="4" t="s">
        <v>527</v>
      </c>
      <c r="CI64" s="250"/>
      <c r="CJ64" s="45">
        <f>'Standard Erstellung'!$D$143</f>
        <v>20</v>
      </c>
      <c r="CK64" s="61">
        <f>'Standard Vorgaben'!$C$30</f>
        <v>22.62</v>
      </c>
      <c r="CL64" s="43">
        <f t="shared" si="58"/>
        <v>452.40000000000003</v>
      </c>
      <c r="CM64" s="385">
        <f t="shared" si="73"/>
        <v>8.403274523764161E-3</v>
      </c>
      <c r="CN64" s="3"/>
      <c r="CO64" s="4" t="s">
        <v>527</v>
      </c>
      <c r="CP64" s="250"/>
      <c r="CQ64" s="45">
        <f>'Standard Erstellung'!$D$143</f>
        <v>20</v>
      </c>
      <c r="CR64" s="61">
        <f>'Standard Vorgaben'!$C$30</f>
        <v>22.62</v>
      </c>
      <c r="CS64" s="43">
        <f t="shared" si="59"/>
        <v>452.40000000000003</v>
      </c>
      <c r="CT64" s="385">
        <f t="shared" si="74"/>
        <v>8.4352339641174424E-3</v>
      </c>
      <c r="CU64" s="3"/>
      <c r="CV64" s="4" t="s">
        <v>527</v>
      </c>
      <c r="CW64" s="250"/>
      <c r="CX64" s="45">
        <f>'Standard Erstellung'!$D$143</f>
        <v>20</v>
      </c>
      <c r="CY64" s="61">
        <f>'Standard Vorgaben'!$C$30</f>
        <v>22.62</v>
      </c>
      <c r="CZ64" s="43">
        <f t="shared" si="60"/>
        <v>452.40000000000003</v>
      </c>
      <c r="DA64" s="385">
        <f t="shared" si="75"/>
        <v>8.2402948398489009E-3</v>
      </c>
      <c r="DB64" s="3"/>
      <c r="DC64" s="4" t="s">
        <v>527</v>
      </c>
      <c r="DD64" s="250"/>
      <c r="DE64" s="45">
        <f>'Standard Erstellung'!$D$143</f>
        <v>20</v>
      </c>
      <c r="DF64" s="61">
        <f>'Standard Vorgaben'!$C$30</f>
        <v>22.62</v>
      </c>
      <c r="DG64" s="43">
        <f t="shared" si="61"/>
        <v>452.40000000000003</v>
      </c>
      <c r="DH64" s="385">
        <f t="shared" si="76"/>
        <v>7.6377659769412817E-3</v>
      </c>
    </row>
    <row r="65" spans="1:113" x14ac:dyDescent="0.2">
      <c r="B65" t="s">
        <v>400</v>
      </c>
      <c r="C65" s="250"/>
      <c r="D65" s="46">
        <f>'Standard Erstellung'!$D$147+'Standard Erstellung'!$D$148</f>
        <v>14</v>
      </c>
      <c r="E65" s="61">
        <f>'Standard Vorgaben'!$C$31</f>
        <v>32.700000000000003</v>
      </c>
      <c r="F65" s="43">
        <f t="shared" si="45"/>
        <v>457.80000000000007</v>
      </c>
      <c r="G65" s="42">
        <f t="shared" si="62"/>
        <v>3.793017609625865E-2</v>
      </c>
      <c r="H65" s="17"/>
      <c r="I65" s="1" t="s">
        <v>400</v>
      </c>
      <c r="J65" s="250"/>
      <c r="K65" s="46">
        <f>'Standard Erstellung'!$D$147+'Standard Erstellung'!$D$148</f>
        <v>14</v>
      </c>
      <c r="L65" s="61">
        <f>'Standard Vorgaben'!$C$31</f>
        <v>32.700000000000003</v>
      </c>
      <c r="M65" s="43">
        <f t="shared" si="47"/>
        <v>457.80000000000007</v>
      </c>
      <c r="N65" s="42">
        <f t="shared" si="63"/>
        <v>3.7520371348303556E-2</v>
      </c>
      <c r="O65" s="3"/>
      <c r="P65" s="1" t="s">
        <v>400</v>
      </c>
      <c r="Q65" s="250"/>
      <c r="R65" s="45">
        <f>'Standard Erstellung'!$D$147+'Standard Erstellung'!$D$148</f>
        <v>14</v>
      </c>
      <c r="S65" s="61">
        <f>'Standard Vorgaben'!$C$31</f>
        <v>32.700000000000003</v>
      </c>
      <c r="T65" s="43">
        <f t="shared" si="48"/>
        <v>457.80000000000007</v>
      </c>
      <c r="U65" s="42">
        <f t="shared" si="46"/>
        <v>5.344638630560632E-3</v>
      </c>
      <c r="V65" s="17"/>
      <c r="W65" s="1" t="s">
        <v>400</v>
      </c>
      <c r="X65" s="250"/>
      <c r="Y65" s="45">
        <f>'Standard Erstellung'!$D$147+'Standard Erstellung'!$D$148</f>
        <v>14</v>
      </c>
      <c r="Z65" s="61">
        <f>'Standard Vorgaben'!$C$31</f>
        <v>32.700000000000003</v>
      </c>
      <c r="AA65" s="43">
        <f t="shared" si="49"/>
        <v>457.80000000000007</v>
      </c>
      <c r="AB65" s="42">
        <f t="shared" si="64"/>
        <v>1.3614116048056398E-2</v>
      </c>
      <c r="AC65" s="17"/>
      <c r="AD65" s="1" t="s">
        <v>400</v>
      </c>
      <c r="AE65" s="250"/>
      <c r="AF65" s="45">
        <f>'Standard Erstellung'!$D$147+'Standard Erstellung'!$D$148</f>
        <v>14</v>
      </c>
      <c r="AG65" s="61">
        <f>'Standard Vorgaben'!$C$31</f>
        <v>32.700000000000003</v>
      </c>
      <c r="AH65" s="43">
        <f t="shared" si="50"/>
        <v>457.80000000000007</v>
      </c>
      <c r="AI65" s="42">
        <f t="shared" si="65"/>
        <v>8.3323850979642629E-3</v>
      </c>
      <c r="AJ65" s="17"/>
      <c r="AK65" s="1" t="s">
        <v>400</v>
      </c>
      <c r="AL65" s="250"/>
      <c r="AM65" s="45">
        <f>'Standard Erstellung'!$D$147+'Standard Erstellung'!$D$148</f>
        <v>14</v>
      </c>
      <c r="AN65" s="61">
        <f>'Standard Vorgaben'!$C$31</f>
        <v>32.700000000000003</v>
      </c>
      <c r="AO65" s="43">
        <f t="shared" si="51"/>
        <v>457.80000000000007</v>
      </c>
      <c r="AP65" s="42">
        <f t="shared" si="66"/>
        <v>8.1426027687833934E-3</v>
      </c>
      <c r="AQ65" s="17"/>
      <c r="AR65" s="1" t="s">
        <v>400</v>
      </c>
      <c r="AS65" s="250"/>
      <c r="AT65" s="45">
        <f>'Standard Erstellung'!$D$147+'Standard Erstellung'!$D$148</f>
        <v>14</v>
      </c>
      <c r="AU65" s="61">
        <f>'Standard Vorgaben'!$C$31</f>
        <v>32.700000000000003</v>
      </c>
      <c r="AV65" s="59">
        <f t="shared" si="52"/>
        <v>457.80000000000007</v>
      </c>
      <c r="AW65" s="42">
        <f t="shared" si="67"/>
        <v>8.3898802143633124E-3</v>
      </c>
      <c r="AX65" s="17"/>
      <c r="AY65" s="1" t="s">
        <v>400</v>
      </c>
      <c r="AZ65" s="250"/>
      <c r="BA65" s="57">
        <f>'Standard Erstellung'!$D$147+'Standard Erstellung'!$D$148</f>
        <v>14</v>
      </c>
      <c r="BB65" s="61">
        <f>'Standard Vorgaben'!$C$31</f>
        <v>32.700000000000003</v>
      </c>
      <c r="BC65" s="43">
        <f t="shared" si="53"/>
        <v>457.80000000000007</v>
      </c>
      <c r="BD65" s="42">
        <f t="shared" si="68"/>
        <v>8.4203434005438518E-3</v>
      </c>
      <c r="BE65" s="17"/>
      <c r="BF65" s="1" t="s">
        <v>400</v>
      </c>
      <c r="BG65" s="250"/>
      <c r="BH65" s="45">
        <f>'Standard Erstellung'!$D$147+'Standard Erstellung'!$D$148</f>
        <v>14</v>
      </c>
      <c r="BI65" s="61">
        <f>'Standard Vorgaben'!$C$31</f>
        <v>32.700000000000003</v>
      </c>
      <c r="BJ65" s="43">
        <f t="shared" si="54"/>
        <v>457.80000000000007</v>
      </c>
      <c r="BK65" s="42">
        <f t="shared" si="69"/>
        <v>4.5637276833273678E-3</v>
      </c>
      <c r="BL65" s="17"/>
      <c r="BM65" s="1" t="s">
        <v>400</v>
      </c>
      <c r="BN65" s="250"/>
      <c r="BO65" s="45">
        <f>'Standard Erstellung'!$D$147+'Standard Erstellung'!$D$148</f>
        <v>14</v>
      </c>
      <c r="BP65" s="61">
        <f>'Standard Vorgaben'!$C$31</f>
        <v>32.700000000000003</v>
      </c>
      <c r="BQ65" s="43">
        <f t="shared" si="55"/>
        <v>457.80000000000007</v>
      </c>
      <c r="BR65" s="42">
        <f t="shared" si="70"/>
        <v>7.7641557433445647E-3</v>
      </c>
      <c r="BS65" s="17"/>
      <c r="BT65" s="1" t="s">
        <v>400</v>
      </c>
      <c r="BU65" s="250"/>
      <c r="BV65" s="45">
        <f>'Standard Erstellung'!$D$147+'Standard Erstellung'!$D$148</f>
        <v>14</v>
      </c>
      <c r="BW65" s="61">
        <f>'Standard Vorgaben'!$C$31</f>
        <v>32.700000000000003</v>
      </c>
      <c r="BX65" s="43">
        <f t="shared" si="56"/>
        <v>457.80000000000007</v>
      </c>
      <c r="BY65" s="42">
        <f t="shared" si="71"/>
        <v>8.4425025092066848E-3</v>
      </c>
      <c r="BZ65" s="17"/>
      <c r="CA65" s="1" t="s">
        <v>400</v>
      </c>
      <c r="CB65" s="250"/>
      <c r="CC65" s="45">
        <f>'Standard Erstellung'!$D$147+'Standard Erstellung'!$D$148</f>
        <v>14</v>
      </c>
      <c r="CD65" s="61">
        <f>'Standard Vorgaben'!$C$31</f>
        <v>32.700000000000003</v>
      </c>
      <c r="CE65" s="59">
        <f t="shared" si="57"/>
        <v>457.80000000000007</v>
      </c>
      <c r="CF65" s="42">
        <f t="shared" si="72"/>
        <v>8.2486879568570495E-3</v>
      </c>
      <c r="CG65" s="17"/>
      <c r="CH65" s="1" t="s">
        <v>400</v>
      </c>
      <c r="CI65" s="250"/>
      <c r="CJ65" s="45">
        <f>'Standard Erstellung'!$D$147+'Standard Erstellung'!$D$148</f>
        <v>14</v>
      </c>
      <c r="CK65" s="61">
        <f>'Standard Vorgaben'!$C$31</f>
        <v>32.700000000000003</v>
      </c>
      <c r="CL65" s="43">
        <f t="shared" si="58"/>
        <v>457.80000000000007</v>
      </c>
      <c r="CM65" s="42">
        <f t="shared" si="73"/>
        <v>8.5035788615809762E-3</v>
      </c>
      <c r="CN65" s="17"/>
      <c r="CO65" s="1" t="s">
        <v>400</v>
      </c>
      <c r="CP65" s="250"/>
      <c r="CQ65" s="45">
        <f>'Standard Erstellung'!$D$147+'Standard Erstellung'!$D$148</f>
        <v>14</v>
      </c>
      <c r="CR65" s="61">
        <f>'Standard Vorgaben'!$C$31</f>
        <v>32.700000000000003</v>
      </c>
      <c r="CS65" s="43">
        <f t="shared" si="59"/>
        <v>457.80000000000007</v>
      </c>
      <c r="CT65" s="42">
        <f t="shared" si="74"/>
        <v>8.5359197806652645E-3</v>
      </c>
      <c r="CU65" s="17"/>
      <c r="CV65" s="1" t="s">
        <v>400</v>
      </c>
      <c r="CW65" s="250"/>
      <c r="CX65" s="45">
        <f>'Standard Erstellung'!$D$147+'Standard Erstellung'!$D$148</f>
        <v>14</v>
      </c>
      <c r="CY65" s="61">
        <f>'Standard Vorgaben'!$C$31</f>
        <v>32.700000000000003</v>
      </c>
      <c r="CZ65" s="43">
        <f t="shared" si="60"/>
        <v>457.80000000000007</v>
      </c>
      <c r="DA65" s="42">
        <f t="shared" si="75"/>
        <v>8.3386537968232251E-3</v>
      </c>
      <c r="DB65" s="17"/>
      <c r="DC65" s="1" t="s">
        <v>400</v>
      </c>
      <c r="DD65" s="250"/>
      <c r="DE65" s="45">
        <f>'Standard Erstellung'!$D$147+'Standard Erstellung'!$D$148</f>
        <v>14</v>
      </c>
      <c r="DF65" s="61">
        <f>'Standard Vorgaben'!$C$31</f>
        <v>32.700000000000003</v>
      </c>
      <c r="DG65" s="43">
        <f t="shared" si="61"/>
        <v>457.80000000000007</v>
      </c>
      <c r="DH65" s="42">
        <f t="shared" si="76"/>
        <v>7.7289329448358068E-3</v>
      </c>
    </row>
    <row r="66" spans="1:113" x14ac:dyDescent="0.2">
      <c r="B66" s="20" t="s">
        <v>116</v>
      </c>
      <c r="C66" s="45"/>
      <c r="D66" s="46">
        <f>'Standard Vorgaben'!F88+'Standard Vorgaben'!G88</f>
        <v>30</v>
      </c>
      <c r="E66" s="61">
        <f>'Standard Vorgaben'!$C$27</f>
        <v>41.4</v>
      </c>
      <c r="F66" s="59">
        <f>D66*E66</f>
        <v>1242</v>
      </c>
      <c r="G66" s="42">
        <f t="shared" si="62"/>
        <v>0.10290362322313945</v>
      </c>
      <c r="H66" s="17"/>
      <c r="I66" s="4" t="s">
        <v>116</v>
      </c>
      <c r="J66" s="45"/>
      <c r="K66" s="46">
        <f>'Standard Vorgaben'!F89+'Standard Vorgaben'!G89</f>
        <v>30</v>
      </c>
      <c r="L66" s="61">
        <f>'Standard Vorgaben'!$C$27</f>
        <v>41.4</v>
      </c>
      <c r="M66" s="59">
        <f>K66*L66</f>
        <v>1242</v>
      </c>
      <c r="N66" s="42">
        <f t="shared" si="63"/>
        <v>0.10179183314677372</v>
      </c>
      <c r="O66" s="3"/>
      <c r="P66" s="4" t="s">
        <v>116</v>
      </c>
      <c r="Q66" s="45"/>
      <c r="R66" s="50">
        <f>'Standard Vorgaben'!$F$87+'Standard Vorgaben'!$G$87</f>
        <v>50</v>
      </c>
      <c r="S66" s="61">
        <f>'Standard Vorgaben'!$C$27</f>
        <v>41.4</v>
      </c>
      <c r="T66" s="59">
        <f t="shared" si="48"/>
        <v>2070</v>
      </c>
      <c r="U66" s="42">
        <f t="shared" si="46"/>
        <v>2.4166452523504817E-2</v>
      </c>
      <c r="V66" s="17"/>
      <c r="W66" s="4" t="s">
        <v>116</v>
      </c>
      <c r="X66" s="45"/>
      <c r="Y66" s="50">
        <f>'Standard Vorgaben'!$F$87+'Standard Vorgaben'!$G$87</f>
        <v>50</v>
      </c>
      <c r="Z66" s="61">
        <f>'Standard Vorgaben'!$C$27</f>
        <v>41.4</v>
      </c>
      <c r="AA66" s="59">
        <f t="shared" si="49"/>
        <v>2070</v>
      </c>
      <c r="AB66" s="42">
        <f t="shared" si="64"/>
        <v>6.1557929706152772E-2</v>
      </c>
      <c r="AC66" s="17"/>
      <c r="AD66" s="4" t="s">
        <v>116</v>
      </c>
      <c r="AE66" s="45"/>
      <c r="AF66" s="50">
        <f>'Standard Vorgaben'!$F$87+'Standard Vorgaben'!$G$87</f>
        <v>50</v>
      </c>
      <c r="AG66" s="61">
        <f>'Standard Vorgaben'!$C$27</f>
        <v>41.4</v>
      </c>
      <c r="AH66" s="59">
        <f t="shared" si="50"/>
        <v>2070</v>
      </c>
      <c r="AI66" s="42">
        <f t="shared" si="65"/>
        <v>3.7675922133652298E-2</v>
      </c>
      <c r="AJ66" s="17"/>
      <c r="AK66" s="4" t="s">
        <v>116</v>
      </c>
      <c r="AL66" s="45"/>
      <c r="AM66" s="50">
        <f>'Standard Vorgaben'!$F$87+'Standard Vorgaben'!$G$87</f>
        <v>50</v>
      </c>
      <c r="AN66" s="61">
        <f>'Standard Vorgaben'!$C$27</f>
        <v>41.4</v>
      </c>
      <c r="AO66" s="59">
        <f t="shared" si="51"/>
        <v>2070</v>
      </c>
      <c r="AP66" s="42">
        <f t="shared" si="66"/>
        <v>3.6817797578378379E-2</v>
      </c>
      <c r="AQ66" s="17"/>
      <c r="AR66" s="4" t="s">
        <v>116</v>
      </c>
      <c r="AS66" s="45"/>
      <c r="AT66" s="50">
        <f>'Standard Vorgaben'!$F$87+'Standard Vorgaben'!$G$87</f>
        <v>50</v>
      </c>
      <c r="AU66" s="61">
        <f>'Standard Vorgaben'!$C$27</f>
        <v>41.4</v>
      </c>
      <c r="AV66" s="59">
        <f t="shared" si="52"/>
        <v>2070</v>
      </c>
      <c r="AW66" s="42">
        <f t="shared" si="67"/>
        <v>3.79358934987594E-2</v>
      </c>
      <c r="AX66" s="17"/>
      <c r="AY66" s="4" t="s">
        <v>116</v>
      </c>
      <c r="AZ66" s="45"/>
      <c r="BA66" s="50">
        <f>'Standard Vorgaben'!$F$87+'Standard Vorgaben'!$G$87</f>
        <v>50</v>
      </c>
      <c r="BB66" s="61">
        <f>'Standard Vorgaben'!$C$27</f>
        <v>41.4</v>
      </c>
      <c r="BC66" s="59">
        <f t="shared" si="53"/>
        <v>2070</v>
      </c>
      <c r="BD66" s="42">
        <f t="shared" si="68"/>
        <v>3.807363660796368E-2</v>
      </c>
      <c r="BE66" s="17"/>
      <c r="BF66" s="4" t="s">
        <v>116</v>
      </c>
      <c r="BG66" s="45"/>
      <c r="BH66" s="50">
        <f>'Standard Vorgaben'!$F$87+'Standard Vorgaben'!$G$87</f>
        <v>50</v>
      </c>
      <c r="BI66" s="61">
        <f>'Standard Vorgaben'!$C$27</f>
        <v>41.4</v>
      </c>
      <c r="BJ66" s="59">
        <f t="shared" si="54"/>
        <v>2070</v>
      </c>
      <c r="BK66" s="42">
        <f t="shared" si="69"/>
        <v>2.0635465933786915E-2</v>
      </c>
      <c r="BL66" s="17"/>
      <c r="BM66" s="4" t="s">
        <v>116</v>
      </c>
      <c r="BN66" s="45"/>
      <c r="BO66" s="50">
        <f>'Standard Vorgaben'!$F$87+'Standard Vorgaben'!$G$87</f>
        <v>50</v>
      </c>
      <c r="BP66" s="61">
        <f>'Standard Vorgaben'!$C$27</f>
        <v>41.4</v>
      </c>
      <c r="BQ66" s="59">
        <f t="shared" si="55"/>
        <v>2070</v>
      </c>
      <c r="BR66" s="42">
        <f t="shared" si="70"/>
        <v>3.5106601984978697E-2</v>
      </c>
      <c r="BS66" s="17"/>
      <c r="BT66" s="4" t="s">
        <v>116</v>
      </c>
      <c r="BU66" s="45"/>
      <c r="BV66" s="50">
        <f>'Standard Vorgaben'!$F$87+'Standard Vorgaben'!$G$87</f>
        <v>50</v>
      </c>
      <c r="BW66" s="61">
        <f>'Standard Vorgaben'!$C$27</f>
        <v>41.4</v>
      </c>
      <c r="BX66" s="59">
        <f t="shared" si="56"/>
        <v>2070</v>
      </c>
      <c r="BY66" s="42">
        <f t="shared" si="71"/>
        <v>3.8173831791301523E-2</v>
      </c>
      <c r="BZ66" s="17"/>
      <c r="CA66" s="4" t="s">
        <v>116</v>
      </c>
      <c r="CB66" s="45"/>
      <c r="CC66" s="50">
        <f>'Standard Vorgaben'!$F$87+'Standard Vorgaben'!$G$87</f>
        <v>50</v>
      </c>
      <c r="CD66" s="61">
        <f>'Standard Vorgaben'!$C$27</f>
        <v>41.4</v>
      </c>
      <c r="CE66" s="59">
        <f t="shared" si="57"/>
        <v>2070</v>
      </c>
      <c r="CF66" s="42">
        <f t="shared" si="72"/>
        <v>3.7297475034281546E-2</v>
      </c>
      <c r="CG66" s="17"/>
      <c r="CH66" s="4" t="s">
        <v>116</v>
      </c>
      <c r="CI66" s="45"/>
      <c r="CJ66" s="50">
        <f>'Standard Vorgaben'!$F$87+'Standard Vorgaben'!$G$87</f>
        <v>50</v>
      </c>
      <c r="CK66" s="61">
        <f>'Standard Vorgaben'!$C$27</f>
        <v>41.4</v>
      </c>
      <c r="CL66" s="59">
        <f t="shared" si="58"/>
        <v>2070</v>
      </c>
      <c r="CM66" s="42">
        <f t="shared" si="73"/>
        <v>3.8449996163111878E-2</v>
      </c>
      <c r="CN66" s="17"/>
      <c r="CO66" s="4" t="s">
        <v>116</v>
      </c>
      <c r="CP66" s="45"/>
      <c r="CQ66" s="50">
        <f>'Standard Vorgaben'!$F$87+'Standard Vorgaben'!$G$87</f>
        <v>50</v>
      </c>
      <c r="CR66" s="61">
        <f>'Standard Vorgaben'!$C$27</f>
        <v>41.4</v>
      </c>
      <c r="CS66" s="59">
        <f t="shared" si="59"/>
        <v>2070</v>
      </c>
      <c r="CT66" s="42">
        <f t="shared" si="74"/>
        <v>3.8596229676664692E-2</v>
      </c>
      <c r="CU66" s="17"/>
      <c r="CV66" s="4" t="s">
        <v>116</v>
      </c>
      <c r="CW66" s="45"/>
      <c r="CX66" s="50">
        <f>'Standard Vorgaben'!$F$87+'Standard Vorgaben'!$G$87</f>
        <v>50</v>
      </c>
      <c r="CY66" s="61">
        <f>'Standard Vorgaben'!$C$27</f>
        <v>41.4</v>
      </c>
      <c r="CZ66" s="59">
        <f t="shared" si="60"/>
        <v>2070</v>
      </c>
      <c r="DA66" s="42">
        <f t="shared" si="75"/>
        <v>3.7704266840157437E-2</v>
      </c>
      <c r="DB66" s="17"/>
      <c r="DC66" s="4" t="s">
        <v>116</v>
      </c>
      <c r="DD66" s="45"/>
      <c r="DE66" s="50">
        <f>'Standard Vorgaben'!$F$87+'Standard Vorgaben'!$G$87</f>
        <v>50</v>
      </c>
      <c r="DF66" s="61">
        <f>'Standard Vorgaben'!$C$27</f>
        <v>41.4</v>
      </c>
      <c r="DG66" s="59">
        <f t="shared" si="61"/>
        <v>2070</v>
      </c>
      <c r="DH66" s="42">
        <f t="shared" si="76"/>
        <v>3.4947337692901086E-2</v>
      </c>
    </row>
    <row r="67" spans="1:113" ht="13.5" thickBot="1" x14ac:dyDescent="0.25">
      <c r="B67" s="62" t="s">
        <v>13</v>
      </c>
      <c r="C67" s="769">
        <f>'Standard Vorgaben'!$D$65</f>
        <v>12</v>
      </c>
      <c r="D67" s="686">
        <f>D10/C67</f>
        <v>0</v>
      </c>
      <c r="E67" s="61">
        <f>'Standard Vorgaben'!$C$30</f>
        <v>22.62</v>
      </c>
      <c r="F67" s="198">
        <f>D67*E67</f>
        <v>0</v>
      </c>
      <c r="G67" s="42">
        <f t="shared" si="62"/>
        <v>0</v>
      </c>
      <c r="H67" s="17"/>
      <c r="I67" s="3" t="s">
        <v>13</v>
      </c>
      <c r="J67" s="769">
        <f>'Standard Vorgaben'!$D$66</f>
        <v>12</v>
      </c>
      <c r="K67" s="686">
        <f>K10/J67</f>
        <v>0</v>
      </c>
      <c r="L67" s="61">
        <f>'Standard Vorgaben'!$C$30</f>
        <v>22.62</v>
      </c>
      <c r="M67" s="198">
        <f>K67*L67</f>
        <v>0</v>
      </c>
      <c r="N67" s="42">
        <f t="shared" si="63"/>
        <v>0</v>
      </c>
      <c r="O67" s="3"/>
      <c r="P67" s="62" t="s">
        <v>13</v>
      </c>
      <c r="Q67" s="769">
        <f>'Standard Vorgaben'!$D$67</f>
        <v>12</v>
      </c>
      <c r="R67" s="686">
        <f>R10/Q67</f>
        <v>91.25</v>
      </c>
      <c r="S67" s="61">
        <f>'Standard Vorgaben'!$C$30</f>
        <v>22.62</v>
      </c>
      <c r="T67" s="198">
        <f t="shared" si="48"/>
        <v>2064.0750000000003</v>
      </c>
      <c r="U67" s="42">
        <f t="shared" si="46"/>
        <v>2.4097280431136819E-2</v>
      </c>
      <c r="V67" s="17"/>
      <c r="W67" s="62" t="s">
        <v>13</v>
      </c>
      <c r="X67" s="769">
        <f>'Standard Vorgaben'!$D$68</f>
        <v>12</v>
      </c>
      <c r="Y67" s="686">
        <f>Y10/X67</f>
        <v>304.16666666666669</v>
      </c>
      <c r="Z67" s="61">
        <f>'Standard Vorgaben'!$C$30</f>
        <v>22.62</v>
      </c>
      <c r="AA67" s="198">
        <f t="shared" si="49"/>
        <v>6880.2500000000009</v>
      </c>
      <c r="AB67" s="42">
        <f t="shared" si="64"/>
        <v>0.20460577094722593</v>
      </c>
      <c r="AC67" s="17"/>
      <c r="AD67" s="62" t="s">
        <v>13</v>
      </c>
      <c r="AE67" s="769">
        <f>'Standard Vorgaben'!$D$69</f>
        <v>12</v>
      </c>
      <c r="AF67" s="686">
        <f>AF10/AE67</f>
        <v>833.33333333333337</v>
      </c>
      <c r="AG67" s="61">
        <f>'Standard Vorgaben'!$C$30</f>
        <v>22.62</v>
      </c>
      <c r="AH67" s="198">
        <f t="shared" si="50"/>
        <v>18850</v>
      </c>
      <c r="AI67" s="42">
        <f t="shared" si="65"/>
        <v>0.34308750348760669</v>
      </c>
      <c r="AJ67" s="17"/>
      <c r="AK67" s="62" t="s">
        <v>13</v>
      </c>
      <c r="AL67" s="769">
        <f>'Standard Vorgaben'!$D$70</f>
        <v>12</v>
      </c>
      <c r="AM67" s="686">
        <f>AM10/AL67</f>
        <v>833.33333333333337</v>
      </c>
      <c r="AN67" s="61">
        <f>'Standard Vorgaben'!$C$30</f>
        <v>22.62</v>
      </c>
      <c r="AO67" s="198">
        <f t="shared" si="51"/>
        <v>18850</v>
      </c>
      <c r="AP67" s="42">
        <f t="shared" si="66"/>
        <v>0.33527318084658575</v>
      </c>
      <c r="AQ67" s="17"/>
      <c r="AR67" s="62" t="s">
        <v>13</v>
      </c>
      <c r="AS67" s="769">
        <f>'Standard Vorgaben'!$D$71</f>
        <v>12</v>
      </c>
      <c r="AT67" s="686">
        <f>AT10/AS67</f>
        <v>833.33333333333337</v>
      </c>
      <c r="AU67" s="61">
        <f>'Standard Vorgaben'!$C$30</f>
        <v>22.62</v>
      </c>
      <c r="AV67" s="198">
        <f t="shared" si="52"/>
        <v>18850</v>
      </c>
      <c r="AW67" s="42">
        <f t="shared" si="67"/>
        <v>0.34545487558049021</v>
      </c>
      <c r="AX67" s="17"/>
      <c r="AY67" s="62" t="s">
        <v>13</v>
      </c>
      <c r="AZ67" s="769">
        <f>'Standard Vorgaben'!$D$72</f>
        <v>12</v>
      </c>
      <c r="BA67" s="686">
        <f>BA10/AZ67</f>
        <v>833.33333333333337</v>
      </c>
      <c r="BB67" s="61">
        <f>'Standard Vorgaben'!$C$30</f>
        <v>22.62</v>
      </c>
      <c r="BC67" s="198">
        <f>BA67*BB67</f>
        <v>18850</v>
      </c>
      <c r="BD67" s="42">
        <f t="shared" si="68"/>
        <v>0.34670920292759194</v>
      </c>
      <c r="BE67" s="17"/>
      <c r="BF67" s="62" t="s">
        <v>13</v>
      </c>
      <c r="BG67" s="769">
        <f>'Standard Vorgaben'!$D$73</f>
        <v>12</v>
      </c>
      <c r="BH67" s="686">
        <f>BH10/BG67</f>
        <v>833.33333333333337</v>
      </c>
      <c r="BI67" s="61">
        <f>'Standard Vorgaben'!$C$30</f>
        <v>22.62</v>
      </c>
      <c r="BJ67" s="198">
        <f t="shared" si="54"/>
        <v>18850</v>
      </c>
      <c r="BK67" s="42">
        <f t="shared" si="69"/>
        <v>0.18791233471105476</v>
      </c>
      <c r="BL67" s="17"/>
      <c r="BM67" s="62" t="s">
        <v>13</v>
      </c>
      <c r="BN67" s="769">
        <f>'Standard Vorgaben'!$D$74</f>
        <v>12</v>
      </c>
      <c r="BO67" s="686">
        <f>BO10/BN67</f>
        <v>833.33333333333337</v>
      </c>
      <c r="BP67" s="61">
        <f>'Standard Vorgaben'!$C$30</f>
        <v>22.62</v>
      </c>
      <c r="BQ67" s="198">
        <f t="shared" si="55"/>
        <v>18850</v>
      </c>
      <c r="BR67" s="42">
        <f t="shared" si="70"/>
        <v>0.31969055430765625</v>
      </c>
      <c r="BS67" s="17"/>
      <c r="BT67" s="62" t="s">
        <v>13</v>
      </c>
      <c r="BU67" s="769">
        <f>'Standard Vorgaben'!$D$75</f>
        <v>12</v>
      </c>
      <c r="BV67" s="686">
        <f>BV10/BU67</f>
        <v>833.33333333333337</v>
      </c>
      <c r="BW67" s="61">
        <f>'Standard Vorgaben'!$C$30</f>
        <v>22.62</v>
      </c>
      <c r="BX67" s="198">
        <f t="shared" si="56"/>
        <v>18850</v>
      </c>
      <c r="BY67" s="42">
        <f t="shared" si="71"/>
        <v>0.34762160834107908</v>
      </c>
      <c r="BZ67" s="17"/>
      <c r="CA67" s="62" t="s">
        <v>13</v>
      </c>
      <c r="CB67" s="769">
        <f>'Standard Vorgaben'!$D$76</f>
        <v>12</v>
      </c>
      <c r="CC67" s="686">
        <f>CC10/CB67</f>
        <v>833.33333333333337</v>
      </c>
      <c r="CD67" s="61">
        <f>'Standard Vorgaben'!$C$30</f>
        <v>22.62</v>
      </c>
      <c r="CE67" s="198">
        <f t="shared" si="57"/>
        <v>18850</v>
      </c>
      <c r="CF67" s="42">
        <f t="shared" si="72"/>
        <v>0.33964125816241891</v>
      </c>
      <c r="CG67" s="17"/>
      <c r="CH67" s="62" t="s">
        <v>13</v>
      </c>
      <c r="CI67" s="769">
        <f>'Standard Vorgaben'!$D$77</f>
        <v>12</v>
      </c>
      <c r="CJ67" s="686">
        <f>CJ10/CI67</f>
        <v>833.33333333333337</v>
      </c>
      <c r="CK67" s="61">
        <f>'Standard Vorgaben'!$C$30</f>
        <v>22.62</v>
      </c>
      <c r="CL67" s="198">
        <f t="shared" si="58"/>
        <v>18850</v>
      </c>
      <c r="CM67" s="42">
        <f t="shared" si="73"/>
        <v>0.3501364384901734</v>
      </c>
      <c r="CN67" s="17"/>
      <c r="CO67" s="62" t="s">
        <v>13</v>
      </c>
      <c r="CP67" s="769">
        <f>'Standard Vorgaben'!$D$78</f>
        <v>12</v>
      </c>
      <c r="CQ67" s="686">
        <f>CQ10/CP67</f>
        <v>833.33333333333337</v>
      </c>
      <c r="CR67" s="61">
        <f>'Standard Vorgaben'!$C$30</f>
        <v>22.62</v>
      </c>
      <c r="CS67" s="198">
        <f t="shared" si="59"/>
        <v>18850</v>
      </c>
      <c r="CT67" s="42">
        <f t="shared" si="74"/>
        <v>0.35146808183822675</v>
      </c>
      <c r="CU67" s="17"/>
      <c r="CV67" s="62" t="s">
        <v>13</v>
      </c>
      <c r="CW67" s="769">
        <f>'Standard Vorgaben'!$D$79</f>
        <v>12</v>
      </c>
      <c r="CX67" s="686">
        <f>CX10/CW67</f>
        <v>833.33333333333337</v>
      </c>
      <c r="CY67" s="61">
        <f>'Standard Vorgaben'!$C$30</f>
        <v>22.62</v>
      </c>
      <c r="CZ67" s="198">
        <f t="shared" si="60"/>
        <v>18850</v>
      </c>
      <c r="DA67" s="42">
        <f t="shared" si="75"/>
        <v>0.34334561832703747</v>
      </c>
      <c r="DB67" s="17"/>
      <c r="DC67" s="62" t="s">
        <v>13</v>
      </c>
      <c r="DD67" s="769">
        <f>'Standard Vorgaben'!$D$80</f>
        <v>12</v>
      </c>
      <c r="DE67" s="686">
        <f>DE10/DD67</f>
        <v>833.33333333333337</v>
      </c>
      <c r="DF67" s="61">
        <f>'Standard Vorgaben'!$C$30</f>
        <v>22.62</v>
      </c>
      <c r="DG67" s="198">
        <f t="shared" si="61"/>
        <v>18850</v>
      </c>
      <c r="DH67" s="42">
        <f t="shared" si="76"/>
        <v>0.31824024903922005</v>
      </c>
    </row>
    <row r="68" spans="1:113" x14ac:dyDescent="0.2">
      <c r="A68" s="130" t="s">
        <v>107</v>
      </c>
      <c r="B68" s="537">
        <f>('Standard Vorgaben'!$F$29*D61)+('Standard Vorgaben'!$F$29*D67)</f>
        <v>0</v>
      </c>
      <c r="C68" s="154" t="s">
        <v>105</v>
      </c>
      <c r="D68" s="536">
        <f>SUM(D57:D67)</f>
        <v>156.5</v>
      </c>
      <c r="E68" s="61"/>
      <c r="F68" s="79">
        <f>SUM(F57:F67)</f>
        <v>5378.55</v>
      </c>
      <c r="G68" s="611">
        <f t="shared" si="62"/>
        <v>0.44562985723576221</v>
      </c>
      <c r="H68" s="130" t="s">
        <v>107</v>
      </c>
      <c r="I68" s="537">
        <f>('Standard Vorgaben'!$F$29*K61)+('Standard Vorgaben'!$F$29*K67)</f>
        <v>0</v>
      </c>
      <c r="J68" s="154" t="s">
        <v>105</v>
      </c>
      <c r="K68" s="536">
        <f>SUM(K57:K67)</f>
        <v>156.5</v>
      </c>
      <c r="L68" s="61"/>
      <c r="M68" s="79">
        <f>SUM(M57:M67)</f>
        <v>5378.55</v>
      </c>
      <c r="N68" s="611">
        <f t="shared" si="63"/>
        <v>0.44081518854394514</v>
      </c>
      <c r="O68" s="154" t="s">
        <v>107</v>
      </c>
      <c r="P68" s="537">
        <f>('Standard Vorgaben'!$F$29*R61)+('Standard Vorgaben'!$F$29*R67)</f>
        <v>82.125</v>
      </c>
      <c r="Q68" s="154" t="s">
        <v>105</v>
      </c>
      <c r="R68" s="536">
        <f>SUM(R57:R67)</f>
        <v>531.71153846153845</v>
      </c>
      <c r="S68" s="61"/>
      <c r="T68" s="79">
        <f>SUM(T57:T67)</f>
        <v>14684.567307692307</v>
      </c>
      <c r="U68" s="611">
        <f t="shared" si="46"/>
        <v>0.17143666602394064</v>
      </c>
      <c r="V68" s="130" t="s">
        <v>107</v>
      </c>
      <c r="W68" s="537">
        <f>('Standard Vorgaben'!$F$29*Y61)+('Standard Vorgaben'!$F$29*Y67)</f>
        <v>273.75</v>
      </c>
      <c r="X68" s="154" t="s">
        <v>105</v>
      </c>
      <c r="Y68" s="536">
        <f>SUM(Y57:Y67)</f>
        <v>579.75641025641028</v>
      </c>
      <c r="Z68" s="61"/>
      <c r="AA68" s="79">
        <f>SUM(AA57:AA67)</f>
        <v>15722.234615384616</v>
      </c>
      <c r="AB68" s="611">
        <f t="shared" si="64"/>
        <v>0.46754986148670918</v>
      </c>
      <c r="AC68" s="130" t="s">
        <v>107</v>
      </c>
      <c r="AD68" s="537">
        <f>('Standard Vorgaben'!$F$29*AF61)+('Standard Vorgaben'!$F$29*AF67)</f>
        <v>750</v>
      </c>
      <c r="AE68" s="154" t="s">
        <v>105</v>
      </c>
      <c r="AF68" s="536">
        <f>SUM(AF57:AF67)</f>
        <v>1104.7179487179487</v>
      </c>
      <c r="AG68" s="61"/>
      <c r="AH68" s="79">
        <f>SUM(AH57:AH67)</f>
        <v>27554.476923076923</v>
      </c>
      <c r="AI68" s="611">
        <f t="shared" si="65"/>
        <v>0.50151706617747116</v>
      </c>
      <c r="AJ68" s="130" t="s">
        <v>107</v>
      </c>
      <c r="AK68" s="537">
        <f>('Standard Vorgaben'!$F$29*AM61)+('Standard Vorgaben'!$F$29*AM67)</f>
        <v>750</v>
      </c>
      <c r="AL68" s="154" t="s">
        <v>105</v>
      </c>
      <c r="AM68" s="536">
        <f>SUM(AM57:AM67)</f>
        <v>1112.0256410256411</v>
      </c>
      <c r="AN68" s="61"/>
      <c r="AO68" s="79">
        <f>SUM(AO57:AO67)</f>
        <v>27793.438461538462</v>
      </c>
      <c r="AP68" s="611">
        <f t="shared" si="66"/>
        <v>0.49434453685219293</v>
      </c>
      <c r="AQ68" s="130" t="s">
        <v>107</v>
      </c>
      <c r="AR68" s="537">
        <f>('Standard Vorgaben'!$F$29*AT61)+('Standard Vorgaben'!$F$29*AT67)</f>
        <v>750</v>
      </c>
      <c r="AS68" s="154" t="s">
        <v>105</v>
      </c>
      <c r="AT68" s="536">
        <f>SUM(AT57:AT67)</f>
        <v>1104.7179487179487</v>
      </c>
      <c r="AU68" s="61"/>
      <c r="AV68" s="79">
        <f>SUM(AV57:AV67)</f>
        <v>27554.476923076923</v>
      </c>
      <c r="AW68" s="611">
        <f t="shared" si="67"/>
        <v>0.50497763380090321</v>
      </c>
      <c r="AX68" s="130" t="s">
        <v>107</v>
      </c>
      <c r="AY68" s="537">
        <f>('Standard Vorgaben'!$F$29*BA61)+('Standard Vorgaben'!$F$29*BA67)</f>
        <v>750</v>
      </c>
      <c r="AZ68" s="154" t="s">
        <v>105</v>
      </c>
      <c r="BA68" s="536">
        <f>SUM(BA57:BA67)</f>
        <v>1104.7179487179487</v>
      </c>
      <c r="BB68" s="61"/>
      <c r="BC68" s="79">
        <f>SUM(BC57:BC67)</f>
        <v>27554.476923076923</v>
      </c>
      <c r="BD68" s="611">
        <f t="shared" si="68"/>
        <v>0.50681117936799613</v>
      </c>
      <c r="BE68" s="130" t="s">
        <v>107</v>
      </c>
      <c r="BF68" s="537">
        <f>('Standard Vorgaben'!$F$29*BH61)+('Standard Vorgaben'!$F$29*BH67)</f>
        <v>750</v>
      </c>
      <c r="BG68" s="154" t="s">
        <v>105</v>
      </c>
      <c r="BH68" s="536">
        <f>SUM(BH57:BH67)</f>
        <v>1222.0256410256411</v>
      </c>
      <c r="BI68" s="61"/>
      <c r="BJ68" s="79">
        <f>SUM(BJ57:BJ67)</f>
        <v>30281.63846153846</v>
      </c>
      <c r="BK68" s="611">
        <f t="shared" si="69"/>
        <v>0.30187232796730845</v>
      </c>
      <c r="BL68" s="130" t="s">
        <v>107</v>
      </c>
      <c r="BM68" s="537">
        <f>('Standard Vorgaben'!$F$29*BO61)+('Standard Vorgaben'!$F$29*BO67)</f>
        <v>750</v>
      </c>
      <c r="BN68" s="154" t="s">
        <v>105</v>
      </c>
      <c r="BO68" s="536">
        <f>SUM(BO57:BO67)</f>
        <v>1144.7179487179487</v>
      </c>
      <c r="BP68" s="61"/>
      <c r="BQ68" s="79">
        <f>SUM(BQ57:BQ67)</f>
        <v>28459.276923076923</v>
      </c>
      <c r="BR68" s="611">
        <f t="shared" si="70"/>
        <v>0.48266111483997615</v>
      </c>
      <c r="BS68" s="130" t="s">
        <v>107</v>
      </c>
      <c r="BT68" s="537">
        <f>('Standard Vorgaben'!$F$29*BV61)+('Standard Vorgaben'!$F$29*BV67)</f>
        <v>750</v>
      </c>
      <c r="BU68" s="154" t="s">
        <v>105</v>
      </c>
      <c r="BV68" s="536">
        <f>SUM(BV57:BV67)</f>
        <v>1104.7179487179487</v>
      </c>
      <c r="BW68" s="61"/>
      <c r="BX68" s="79">
        <f>SUM(BX57:BX67)</f>
        <v>27554.476923076923</v>
      </c>
      <c r="BY68" s="611">
        <f t="shared" si="71"/>
        <v>0.50814491167093623</v>
      </c>
      <c r="BZ68" s="130" t="s">
        <v>107</v>
      </c>
      <c r="CA68" s="537">
        <f>('Standard Vorgaben'!$F$29*CC61)+('Standard Vorgaben'!$F$29*CC67)</f>
        <v>750</v>
      </c>
      <c r="CB68" s="154" t="s">
        <v>105</v>
      </c>
      <c r="CC68" s="536">
        <f>SUM(CC57:CC67)</f>
        <v>1112.0256410256411</v>
      </c>
      <c r="CD68" s="61"/>
      <c r="CE68" s="79">
        <f>SUM(CE57:CE67)</f>
        <v>27793.438461538462</v>
      </c>
      <c r="CF68" s="611">
        <f t="shared" si="72"/>
        <v>0.50078506141839196</v>
      </c>
      <c r="CG68" s="130" t="s">
        <v>107</v>
      </c>
      <c r="CH68" s="537">
        <f>('Standard Vorgaben'!$F$29*CJ61)+('Standard Vorgaben'!$F$29*CJ67)</f>
        <v>750</v>
      </c>
      <c r="CI68" s="154" t="s">
        <v>105</v>
      </c>
      <c r="CJ68" s="536">
        <f>SUM(CJ57:CJ67)</f>
        <v>1104.7179487179487</v>
      </c>
      <c r="CK68" s="61"/>
      <c r="CL68" s="79">
        <f>SUM(CL57:CL67)</f>
        <v>27554.476923076923</v>
      </c>
      <c r="CM68" s="611">
        <f t="shared" si="73"/>
        <v>0.51182102993664857</v>
      </c>
      <c r="CN68" s="130" t="s">
        <v>107</v>
      </c>
      <c r="CO68" s="537">
        <f>('Standard Vorgaben'!$F$29*CQ61)+('Standard Vorgaben'!$F$29*CQ67)</f>
        <v>750</v>
      </c>
      <c r="CP68" s="154" t="s">
        <v>105</v>
      </c>
      <c r="CQ68" s="536">
        <f>SUM(CQ57:CQ67)</f>
        <v>1104.7179487179487</v>
      </c>
      <c r="CR68" s="61"/>
      <c r="CS68" s="79">
        <f>SUM(CS57:CS67)</f>
        <v>27554.476923076923</v>
      </c>
      <c r="CT68" s="611">
        <f t="shared" si="74"/>
        <v>0.51376759417557194</v>
      </c>
      <c r="CU68" s="130" t="s">
        <v>107</v>
      </c>
      <c r="CV68" s="537">
        <f>('Standard Vorgaben'!$F$29*CX61)+('Standard Vorgaben'!$F$29*CX67)</f>
        <v>750</v>
      </c>
      <c r="CW68" s="154" t="s">
        <v>105</v>
      </c>
      <c r="CX68" s="536">
        <f>SUM(CX57:CX67)</f>
        <v>1112.0256410256411</v>
      </c>
      <c r="CY68" s="61"/>
      <c r="CZ68" s="79">
        <f>SUM(CZ57:CZ67)</f>
        <v>27793.438461538462</v>
      </c>
      <c r="DA68" s="611">
        <f t="shared" si="75"/>
        <v>0.5062469662605511</v>
      </c>
      <c r="DB68" s="130" t="s">
        <v>107</v>
      </c>
      <c r="DC68" s="537">
        <f>('Standard Vorgaben'!$F$29*DE61)+('Standard Vorgaben'!$F$29*DE67)</f>
        <v>750</v>
      </c>
      <c r="DD68" s="154" t="s">
        <v>105</v>
      </c>
      <c r="DE68" s="536">
        <f>SUM(DE57:DE67)</f>
        <v>1104.7179487179487</v>
      </c>
      <c r="DF68" s="61"/>
      <c r="DG68" s="79">
        <f>SUM(DG57:DG67)</f>
        <v>27554.476923076923</v>
      </c>
      <c r="DH68" s="611">
        <f t="shared" si="76"/>
        <v>0.46519594685121707</v>
      </c>
    </row>
    <row r="69" spans="1:113" ht="18" customHeight="1" x14ac:dyDescent="0.2">
      <c r="A69" s="17" t="s">
        <v>73</v>
      </c>
      <c r="B69" s="20" t="s">
        <v>71</v>
      </c>
      <c r="C69" s="45"/>
      <c r="D69" s="45"/>
      <c r="E69" s="61"/>
      <c r="F69" s="116">
        <f>'Standard Vorgaben'!$C$37</f>
        <v>660</v>
      </c>
      <c r="G69" s="612">
        <f t="shared" si="62"/>
        <v>5.4683084804566857E-2</v>
      </c>
      <c r="H69" s="17" t="s">
        <v>73</v>
      </c>
      <c r="I69" s="4" t="s">
        <v>71</v>
      </c>
      <c r="J69" s="45"/>
      <c r="K69" s="45"/>
      <c r="L69" s="61"/>
      <c r="M69" s="116">
        <f>'Standard Vorgaben'!$C$37</f>
        <v>660</v>
      </c>
      <c r="N69" s="612">
        <f t="shared" si="63"/>
        <v>5.4092278483792798E-2</v>
      </c>
      <c r="O69" s="3" t="s">
        <v>73</v>
      </c>
      <c r="P69" s="4" t="s">
        <v>71</v>
      </c>
      <c r="Q69" s="45"/>
      <c r="R69" s="45"/>
      <c r="S69" s="61"/>
      <c r="T69" s="116">
        <f>'Standard Vorgaben'!$C$37</f>
        <v>660</v>
      </c>
      <c r="U69" s="612">
        <f t="shared" si="46"/>
        <v>7.7052457321319717E-3</v>
      </c>
      <c r="V69" s="17" t="s">
        <v>73</v>
      </c>
      <c r="W69" s="4" t="s">
        <v>71</v>
      </c>
      <c r="X69" s="45"/>
      <c r="Y69" s="45"/>
      <c r="Z69" s="61"/>
      <c r="AA69" s="116">
        <f>'Standard Vorgaben'!$C$37</f>
        <v>660</v>
      </c>
      <c r="AB69" s="612">
        <f t="shared" si="64"/>
        <v>1.96271659932661E-2</v>
      </c>
      <c r="AC69" s="17" t="s">
        <v>73</v>
      </c>
      <c r="AD69" s="4" t="s">
        <v>71</v>
      </c>
      <c r="AE69" s="45"/>
      <c r="AF69" s="45"/>
      <c r="AG69" s="61"/>
      <c r="AH69" s="116">
        <f>'Standard Vorgaben'!$C$37</f>
        <v>660</v>
      </c>
      <c r="AI69" s="612">
        <f t="shared" si="65"/>
        <v>1.2012612854207979E-2</v>
      </c>
      <c r="AJ69" s="17" t="s">
        <v>73</v>
      </c>
      <c r="AK69" s="4" t="s">
        <v>71</v>
      </c>
      <c r="AL69" s="45"/>
      <c r="AM69" s="45"/>
      <c r="AN69" s="61"/>
      <c r="AO69" s="116">
        <f>'Standard Vorgaben'!$C$37</f>
        <v>660</v>
      </c>
      <c r="AP69" s="612">
        <f t="shared" si="66"/>
        <v>1.1739007923540934E-2</v>
      </c>
      <c r="AQ69" s="17" t="s">
        <v>73</v>
      </c>
      <c r="AR69" s="4" t="s">
        <v>71</v>
      </c>
      <c r="AS69" s="45"/>
      <c r="AT69" s="45"/>
      <c r="AU69" s="61"/>
      <c r="AV69" s="116">
        <f>'Standard Vorgaben'!$C$37</f>
        <v>660</v>
      </c>
      <c r="AW69" s="612">
        <f t="shared" si="67"/>
        <v>1.2095502274966766E-2</v>
      </c>
      <c r="AX69" s="17" t="s">
        <v>73</v>
      </c>
      <c r="AY69" s="4" t="s">
        <v>71</v>
      </c>
      <c r="AZ69" s="45"/>
      <c r="BA69" s="45"/>
      <c r="BB69" s="61"/>
      <c r="BC69" s="116">
        <f>'Standard Vorgaben'!$C$37</f>
        <v>660</v>
      </c>
      <c r="BD69" s="612">
        <f t="shared" si="68"/>
        <v>1.2139420367756535E-2</v>
      </c>
      <c r="BE69" s="17" t="s">
        <v>73</v>
      </c>
      <c r="BF69" s="4" t="s">
        <v>71</v>
      </c>
      <c r="BG69" s="45"/>
      <c r="BH69" s="45"/>
      <c r="BI69" s="61"/>
      <c r="BJ69" s="116">
        <f>'Standard Vorgaben'!$C$37</f>
        <v>660</v>
      </c>
      <c r="BK69" s="612">
        <f t="shared" si="69"/>
        <v>6.5794239209175671E-3</v>
      </c>
      <c r="BL69" s="17" t="s">
        <v>73</v>
      </c>
      <c r="BM69" s="4" t="s">
        <v>71</v>
      </c>
      <c r="BN69" s="45"/>
      <c r="BO69" s="45"/>
      <c r="BP69" s="61"/>
      <c r="BQ69" s="116">
        <f>'Standard Vorgaben'!$C$37</f>
        <v>660</v>
      </c>
      <c r="BR69" s="612">
        <f t="shared" si="70"/>
        <v>1.1193409328543931E-2</v>
      </c>
      <c r="BS69" s="17" t="s">
        <v>73</v>
      </c>
      <c r="BT69" s="4" t="s">
        <v>71</v>
      </c>
      <c r="BU69" s="45"/>
      <c r="BV69" s="45"/>
      <c r="BW69" s="61"/>
      <c r="BX69" s="116">
        <f>'Standard Vorgaben'!$C$37</f>
        <v>660</v>
      </c>
      <c r="BY69" s="612">
        <f t="shared" si="71"/>
        <v>1.2171366658096138E-2</v>
      </c>
      <c r="BZ69" s="17" t="s">
        <v>73</v>
      </c>
      <c r="CA69" s="4" t="s">
        <v>71</v>
      </c>
      <c r="CB69" s="45"/>
      <c r="CC69" s="45"/>
      <c r="CD69" s="61"/>
      <c r="CE69" s="116">
        <f>'Standard Vorgaben'!$C$37</f>
        <v>660</v>
      </c>
      <c r="CF69" s="612">
        <f t="shared" si="72"/>
        <v>1.1891948561654986E-2</v>
      </c>
      <c r="CG69" s="17" t="s">
        <v>73</v>
      </c>
      <c r="CH69" s="4" t="s">
        <v>71</v>
      </c>
      <c r="CI69" s="45"/>
      <c r="CJ69" s="45"/>
      <c r="CK69" s="61"/>
      <c r="CL69" s="116">
        <f>'Standard Vorgaben'!$C$37</f>
        <v>660</v>
      </c>
      <c r="CM69" s="612">
        <f t="shared" si="73"/>
        <v>1.2259419066499438E-2</v>
      </c>
      <c r="CN69" s="17" t="s">
        <v>73</v>
      </c>
      <c r="CO69" s="4" t="s">
        <v>71</v>
      </c>
      <c r="CP69" s="45"/>
      <c r="CQ69" s="45"/>
      <c r="CR69" s="61"/>
      <c r="CS69" s="116">
        <f>'Standard Vorgaben'!$C$37</f>
        <v>660</v>
      </c>
      <c r="CT69" s="612">
        <f t="shared" si="74"/>
        <v>1.2306044244733669E-2</v>
      </c>
      <c r="CU69" s="17" t="s">
        <v>73</v>
      </c>
      <c r="CV69" s="4" t="s">
        <v>71</v>
      </c>
      <c r="CW69" s="45"/>
      <c r="CX69" s="45"/>
      <c r="CY69" s="61"/>
      <c r="CZ69" s="116">
        <f>'Standard Vorgaben'!$C$37</f>
        <v>660</v>
      </c>
      <c r="DA69" s="612">
        <f t="shared" si="75"/>
        <v>1.202165029686179E-2</v>
      </c>
      <c r="DB69" s="17" t="s">
        <v>73</v>
      </c>
      <c r="DC69" s="4" t="s">
        <v>71</v>
      </c>
      <c r="DD69" s="45"/>
      <c r="DE69" s="45"/>
      <c r="DF69" s="61"/>
      <c r="DG69" s="116">
        <f>'Standard Vorgaben'!$C$37</f>
        <v>660</v>
      </c>
      <c r="DH69" s="612">
        <f t="shared" si="76"/>
        <v>1.1142629409330782E-2</v>
      </c>
    </row>
    <row r="70" spans="1:113" ht="13.5" thickBot="1" x14ac:dyDescent="0.25">
      <c r="A70"/>
      <c r="B70" t="s">
        <v>231</v>
      </c>
      <c r="C70" s="229">
        <f>'Standard Vorgaben'!$C$36</f>
        <v>0.6</v>
      </c>
      <c r="D70" s="230">
        <f>'Standard Vorgaben'!$C$35</f>
        <v>1.4999999999999999E-2</v>
      </c>
      <c r="E70" s="116">
        <f>(F76)*(-1)</f>
        <v>90890.014449999988</v>
      </c>
      <c r="F70" s="607">
        <f>D70*E70*C70</f>
        <v>818.01013004999993</v>
      </c>
      <c r="G70" s="42">
        <f t="shared" si="62"/>
        <v>6.777472320078623E-2</v>
      </c>
      <c r="H70"/>
      <c r="I70" s="1" t="s">
        <v>231</v>
      </c>
      <c r="J70" s="229">
        <f>'Standard Vorgaben'!$C$36</f>
        <v>0.6</v>
      </c>
      <c r="K70" s="230">
        <f>'Standard Vorgaben'!$C$35</f>
        <v>1.4999999999999999E-2</v>
      </c>
      <c r="L70" s="116">
        <f>(M76)*(-1)</f>
        <v>100259.56031338332</v>
      </c>
      <c r="M70" s="607">
        <f>K70*L70*J70</f>
        <v>902.33604282044973</v>
      </c>
      <c r="N70" s="42">
        <f t="shared" si="63"/>
        <v>7.3953655324556597E-2</v>
      </c>
      <c r="O70" s="1"/>
      <c r="P70" s="1" t="s">
        <v>231</v>
      </c>
      <c r="Q70" s="229">
        <f>'Standard Vorgaben'!$C$36</f>
        <v>0.6</v>
      </c>
      <c r="R70" s="230">
        <f>'Standard Vorgaben'!$C$35</f>
        <v>1.4999999999999999E-2</v>
      </c>
      <c r="S70" s="116">
        <f>(T76)*(-1)</f>
        <v>109760.93208953711</v>
      </c>
      <c r="T70" s="607">
        <f>R70*S70*Q70</f>
        <v>987.84838880583391</v>
      </c>
      <c r="U70" s="42">
        <f t="shared" si="46"/>
        <v>1.1532749366423629E-2</v>
      </c>
      <c r="W70" s="1" t="s">
        <v>231</v>
      </c>
      <c r="X70" s="229">
        <f>'Standard Vorgaben'!$C$36</f>
        <v>0.6</v>
      </c>
      <c r="Y70" s="230">
        <f>'Standard Vorgaben'!$C$35</f>
        <v>1.4999999999999999E-2</v>
      </c>
      <c r="Z70" s="116">
        <f>(AA76)*(-1)</f>
        <v>184635.76350879166</v>
      </c>
      <c r="AA70" s="607">
        <f>Y70*Z70*X70</f>
        <v>1661.7218715791248</v>
      </c>
      <c r="AB70" s="42">
        <f t="shared" si="64"/>
        <v>4.9416501527461056E-2</v>
      </c>
      <c r="AD70" s="1" t="s">
        <v>231</v>
      </c>
      <c r="AE70" s="229">
        <f>'Standard Vorgaben'!$C$36</f>
        <v>0.6</v>
      </c>
      <c r="AF70" s="230">
        <f>'Standard Vorgaben'!$C$35</f>
        <v>1.4999999999999999E-2</v>
      </c>
      <c r="AG70" s="116">
        <f>(AH76)*(-1)</f>
        <v>188625.62539126823</v>
      </c>
      <c r="AH70" s="607">
        <f>AF70*AG70*AE70</f>
        <v>1697.6306285214141</v>
      </c>
      <c r="AI70" s="42">
        <f t="shared" si="65"/>
        <v>3.0898453802838653E-2</v>
      </c>
      <c r="AK70" s="1" t="s">
        <v>231</v>
      </c>
      <c r="AL70" s="229">
        <f>'Standard Vorgaben'!$C$36</f>
        <v>0.6</v>
      </c>
      <c r="AM70" s="230">
        <f>'Standard Vorgaben'!$C$35</f>
        <v>1.4999999999999999E-2</v>
      </c>
      <c r="AN70" s="116">
        <f>(AO76)*(-1)</f>
        <v>167067.87717363582</v>
      </c>
      <c r="AO70" s="607">
        <f>AM70*AN70*AL70</f>
        <v>1503.6108945627223</v>
      </c>
      <c r="AP70" s="42">
        <f t="shared" si="66"/>
        <v>2.6743788189688283E-2</v>
      </c>
      <c r="AR70" s="1" t="s">
        <v>231</v>
      </c>
      <c r="AS70" s="229">
        <f>'Standard Vorgaben'!$C$36</f>
        <v>0.6</v>
      </c>
      <c r="AT70" s="230">
        <f>'Standard Vorgaben'!$C$35</f>
        <v>1.4999999999999999E-2</v>
      </c>
      <c r="AU70" s="116">
        <f>(AV76)*(-1)</f>
        <v>146790.68614512161</v>
      </c>
      <c r="AV70" s="607">
        <f>AT70*AU70*AS70</f>
        <v>1321.1161753060944</v>
      </c>
      <c r="AW70" s="42">
        <f t="shared" si="67"/>
        <v>2.4211460157439784E-2</v>
      </c>
      <c r="AY70" s="1" t="s">
        <v>231</v>
      </c>
      <c r="AZ70" s="229">
        <f>'Standard Vorgaben'!$C$36</f>
        <v>0.6</v>
      </c>
      <c r="BA70" s="230">
        <f>'Standard Vorgaben'!$C$35</f>
        <v>1.4999999999999999E-2</v>
      </c>
      <c r="BB70" s="116">
        <f>(BC76)*(-1)</f>
        <v>124856.42347427388</v>
      </c>
      <c r="BC70" s="607">
        <f>BA70*BB70*AZ70</f>
        <v>1123.7078112684649</v>
      </c>
      <c r="BD70" s="42">
        <f t="shared" si="68"/>
        <v>2.0668426502302301E-2</v>
      </c>
      <c r="BF70" s="1" t="s">
        <v>231</v>
      </c>
      <c r="BG70" s="229">
        <f>'Standard Vorgaben'!$C$36</f>
        <v>0.6</v>
      </c>
      <c r="BH70" s="230">
        <f>'Standard Vorgaben'!$C$35</f>
        <v>1.4999999999999999E-2</v>
      </c>
      <c r="BI70" s="116">
        <f>(BJ76)*(-1)</f>
        <v>102724.75243938848</v>
      </c>
      <c r="BJ70" s="607">
        <f>BH70*BI70*BG70</f>
        <v>924.52277195449619</v>
      </c>
      <c r="BK70" s="42">
        <f t="shared" si="69"/>
        <v>9.2164049109551959E-3</v>
      </c>
      <c r="BM70" s="1" t="s">
        <v>231</v>
      </c>
      <c r="BN70" s="229">
        <f>'Standard Vorgaben'!$C$36</f>
        <v>0.6</v>
      </c>
      <c r="BO70" s="230">
        <f>'Standard Vorgaben'!$C$35</f>
        <v>1.4999999999999999E-2</v>
      </c>
      <c r="BP70" s="116">
        <f>(BQ76)*(-1)</f>
        <v>126537.48618826605</v>
      </c>
      <c r="BQ70" s="607">
        <f>BO70*BP70*BN70</f>
        <v>1138.8373756943943</v>
      </c>
      <c r="BR70" s="42">
        <f t="shared" si="70"/>
        <v>1.9314352886048672E-2</v>
      </c>
      <c r="BT70" s="1" t="s">
        <v>231</v>
      </c>
      <c r="BU70" s="229">
        <f>'Standard Vorgaben'!$C$36</f>
        <v>0.6</v>
      </c>
      <c r="BV70" s="230">
        <f>'Standard Vorgaben'!$C$35</f>
        <v>1.4999999999999999E-2</v>
      </c>
      <c r="BW70" s="116">
        <f>(BX76)*(-1)</f>
        <v>109000.75471780659</v>
      </c>
      <c r="BX70" s="607">
        <f>BV70*BW70*BU70</f>
        <v>981.00679246025925</v>
      </c>
      <c r="BY70" s="42">
        <f t="shared" si="71"/>
        <v>1.8091202068358542E-2</v>
      </c>
      <c r="CA70" s="1" t="s">
        <v>231</v>
      </c>
      <c r="CB70" s="229">
        <f>'Standard Vorgaben'!$C$36</f>
        <v>0.6</v>
      </c>
      <c r="CC70" s="230">
        <f>'Standard Vorgaben'!$C$35</f>
        <v>1.4999999999999999E-2</v>
      </c>
      <c r="CD70" s="116">
        <f>(CE76)*(-1)</f>
        <v>86726.382664113014</v>
      </c>
      <c r="CE70" s="607">
        <f>CC70*CD70*CB70</f>
        <v>780.53744397701712</v>
      </c>
      <c r="CF70" s="42">
        <f t="shared" si="72"/>
        <v>1.4063804748818708E-2</v>
      </c>
      <c r="CH70" s="1" t="s">
        <v>231</v>
      </c>
      <c r="CI70" s="229">
        <f>'Standard Vorgaben'!$C$36</f>
        <v>0.6</v>
      </c>
      <c r="CJ70" s="230">
        <f>'Standard Vorgaben'!$C$35</f>
        <v>1.4999999999999999E-2</v>
      </c>
      <c r="CK70" s="116">
        <f>(CL76)*(-1)</f>
        <v>65726.118185013125</v>
      </c>
      <c r="CL70" s="607">
        <f>CJ70*CK70*CI70</f>
        <v>591.53506366511806</v>
      </c>
      <c r="CM70" s="42">
        <f t="shared" si="73"/>
        <v>1.0987691269695617E-2</v>
      </c>
      <c r="CO70" s="1" t="s">
        <v>231</v>
      </c>
      <c r="CP70" s="229">
        <f>'Standard Vorgaben'!$C$36</f>
        <v>0.6</v>
      </c>
      <c r="CQ70" s="230">
        <f>'Standard Vorgaben'!$C$35</f>
        <v>1.4999999999999999E-2</v>
      </c>
      <c r="CR70" s="116">
        <f>(CS76)*(-1)</f>
        <v>43062.274402524403</v>
      </c>
      <c r="CS70" s="607">
        <f>CQ70*CR70*CP70</f>
        <v>387.56046962271961</v>
      </c>
      <c r="CT70" s="42">
        <f t="shared" si="74"/>
        <v>7.2262671010408282E-3</v>
      </c>
      <c r="CV70" s="1" t="s">
        <v>231</v>
      </c>
      <c r="CW70" s="229">
        <f>'Standard Vorgaben'!$C$36</f>
        <v>0.6</v>
      </c>
      <c r="CX70" s="230">
        <f>'Standard Vorgaben'!$C$35</f>
        <v>1.4999999999999999E-2</v>
      </c>
      <c r="CY70" s="116">
        <f>(CZ76)*(-1)</f>
        <v>20194.456025993277</v>
      </c>
      <c r="CZ70" s="607">
        <f>CX70*CY70*CW70</f>
        <v>181.75010423393948</v>
      </c>
      <c r="DA70" s="42">
        <f t="shared" si="75"/>
        <v>3.3105093856342421E-3</v>
      </c>
      <c r="DC70" s="1" t="s">
        <v>231</v>
      </c>
      <c r="DD70" s="229">
        <f>'Standard Vorgaben'!$C$36</f>
        <v>0.6</v>
      </c>
      <c r="DE70" s="230">
        <f>'Standard Vorgaben'!$C$35</f>
        <v>1.4999999999999999E-2</v>
      </c>
      <c r="DF70" s="116">
        <f>(DG76)*(-1)</f>
        <v>-1404.5957928497082</v>
      </c>
      <c r="DG70" s="607">
        <f>DE70*DF70*DD70</f>
        <v>-12.641362135647373</v>
      </c>
      <c r="DH70" s="42">
        <f t="shared" si="76"/>
        <v>-2.1342123258585605E-4</v>
      </c>
    </row>
    <row r="71" spans="1:113" x14ac:dyDescent="0.2">
      <c r="A71"/>
      <c r="B71"/>
      <c r="C71" s="229"/>
      <c r="D71" s="230"/>
      <c r="E71" s="231"/>
      <c r="F71" s="117">
        <f>SUM(F69:F70)</f>
        <v>1478.01013005</v>
      </c>
      <c r="G71" s="611">
        <f t="shared" si="62"/>
        <v>0.12245780800535309</v>
      </c>
      <c r="H71"/>
      <c r="I71" s="1"/>
      <c r="J71" s="229"/>
      <c r="K71" s="230"/>
      <c r="L71" s="231"/>
      <c r="M71" s="117">
        <f>SUM(M69:M70)</f>
        <v>1562.3360428204496</v>
      </c>
      <c r="N71" s="611">
        <f t="shared" si="63"/>
        <v>0.12804593380834939</v>
      </c>
      <c r="O71" s="1"/>
      <c r="P71" s="1"/>
      <c r="Q71" s="229"/>
      <c r="R71" s="230"/>
      <c r="S71" s="231"/>
      <c r="T71" s="117">
        <f>SUM(T69:T70)</f>
        <v>1647.848388805834</v>
      </c>
      <c r="U71" s="611">
        <f t="shared" si="46"/>
        <v>1.9237995098555602E-2</v>
      </c>
      <c r="W71" s="1"/>
      <c r="X71" s="229"/>
      <c r="Y71" s="230"/>
      <c r="Z71" s="231"/>
      <c r="AA71" s="117">
        <f>SUM(AA69:AA70)</f>
        <v>2321.721871579125</v>
      </c>
      <c r="AB71" s="611">
        <f t="shared" si="64"/>
        <v>6.9043667520727159E-2</v>
      </c>
      <c r="AE71" s="229"/>
      <c r="AF71" s="230"/>
      <c r="AG71" s="231"/>
      <c r="AH71" s="117">
        <f>SUM(AH69:AH70)</f>
        <v>2357.6306285214141</v>
      </c>
      <c r="AI71" s="611">
        <f t="shared" si="65"/>
        <v>4.291106665704663E-2</v>
      </c>
      <c r="AL71" s="229"/>
      <c r="AM71" s="230"/>
      <c r="AN71" s="231"/>
      <c r="AO71" s="117">
        <f>SUM(AO69:AO70)</f>
        <v>2163.610894562722</v>
      </c>
      <c r="AP71" s="611">
        <f t="shared" si="66"/>
        <v>3.848279611322921E-2</v>
      </c>
      <c r="AS71" s="229"/>
      <c r="AT71" s="230"/>
      <c r="AU71" s="231"/>
      <c r="AV71" s="117">
        <f>SUM(AV69:AV70)</f>
        <v>1981.1161753060944</v>
      </c>
      <c r="AW71" s="611">
        <f t="shared" si="67"/>
        <v>3.6306962432406546E-2</v>
      </c>
      <c r="AZ71" s="229"/>
      <c r="BA71" s="230"/>
      <c r="BB71" s="231"/>
      <c r="BC71" s="117">
        <f>SUM(BC69:BC70)</f>
        <v>1783.7078112684649</v>
      </c>
      <c r="BD71" s="611">
        <f t="shared" si="68"/>
        <v>3.2807846870058839E-2</v>
      </c>
      <c r="BF71" s="1"/>
      <c r="BG71" s="229"/>
      <c r="BH71" s="230"/>
      <c r="BI71" s="231"/>
      <c r="BJ71" s="117">
        <f>SUM(BJ69:BJ70)</f>
        <v>1584.5227719544962</v>
      </c>
      <c r="BK71" s="611">
        <f t="shared" si="69"/>
        <v>1.5795828831872763E-2</v>
      </c>
      <c r="BN71" s="229"/>
      <c r="BO71" s="230"/>
      <c r="BP71" s="231"/>
      <c r="BQ71" s="117">
        <f>SUM(BQ69:BQ70)</f>
        <v>1798.8373756943943</v>
      </c>
      <c r="BR71" s="611">
        <f t="shared" si="70"/>
        <v>3.0507762214592605E-2</v>
      </c>
      <c r="BT71" s="1"/>
      <c r="BU71" s="229"/>
      <c r="BV71" s="230"/>
      <c r="BW71" s="231"/>
      <c r="BX71" s="117">
        <f>SUM(BX69:BX70)</f>
        <v>1641.0067924602592</v>
      </c>
      <c r="BY71" s="611">
        <f t="shared" si="71"/>
        <v>3.0262568726454678E-2</v>
      </c>
      <c r="CB71" s="229"/>
      <c r="CC71" s="230"/>
      <c r="CD71" s="231"/>
      <c r="CE71" s="117">
        <f>SUM(CE69:CE70)</f>
        <v>1440.5374439770171</v>
      </c>
      <c r="CF71" s="611">
        <f t="shared" si="72"/>
        <v>2.5955753310473693E-2</v>
      </c>
      <c r="CH71" s="1"/>
      <c r="CI71" s="229"/>
      <c r="CJ71" s="230"/>
      <c r="CK71" s="231"/>
      <c r="CL71" s="117">
        <f>SUM(CL69:CL70)</f>
        <v>1251.5350636651181</v>
      </c>
      <c r="CM71" s="611">
        <f t="shared" si="73"/>
        <v>2.3247110336195056E-2</v>
      </c>
      <c r="CP71" s="229"/>
      <c r="CQ71" s="230"/>
      <c r="CR71" s="231"/>
      <c r="CS71" s="117">
        <f>SUM(CS69:CS70)</f>
        <v>1047.5604696227197</v>
      </c>
      <c r="CT71" s="611">
        <f t="shared" si="74"/>
        <v>1.9532311345774499E-2</v>
      </c>
      <c r="CV71" s="1"/>
      <c r="CW71" s="229"/>
      <c r="CX71" s="230"/>
      <c r="CY71" s="231"/>
      <c r="CZ71" s="117">
        <f>SUM(CZ69:CZ70)</f>
        <v>841.75010423393951</v>
      </c>
      <c r="DA71" s="611">
        <f t="shared" si="75"/>
        <v>1.5332159682496033E-2</v>
      </c>
      <c r="DC71" s="1"/>
      <c r="DD71" s="229"/>
      <c r="DE71" s="230"/>
      <c r="DF71" s="231"/>
      <c r="DG71" s="117">
        <f>SUM(DG69:DG70)</f>
        <v>647.35863786435266</v>
      </c>
      <c r="DH71" s="611">
        <f t="shared" si="76"/>
        <v>1.0929208176744927E-2</v>
      </c>
    </row>
    <row r="72" spans="1:113" ht="13.5" thickBot="1" x14ac:dyDescent="0.25">
      <c r="A72" s="549" t="s">
        <v>38</v>
      </c>
      <c r="B72" s="550"/>
      <c r="C72" s="551"/>
      <c r="D72" s="552"/>
      <c r="E72" s="553"/>
      <c r="F72" s="554">
        <f>F71+F68+F55+F36</f>
        <v>9517.8601300500013</v>
      </c>
      <c r="G72" s="385">
        <f t="shared" si="62"/>
        <v>0.78858477674171201</v>
      </c>
      <c r="H72" s="549" t="s">
        <v>38</v>
      </c>
      <c r="I72" s="550"/>
      <c r="J72" s="551"/>
      <c r="K72" s="552"/>
      <c r="L72" s="553"/>
      <c r="M72" s="554">
        <f>M71+M68+M55+M36</f>
        <v>9497.1860428204491</v>
      </c>
      <c r="N72" s="385">
        <f t="shared" si="63"/>
        <v>0.77837035187974823</v>
      </c>
      <c r="O72" s="549" t="s">
        <v>38</v>
      </c>
      <c r="P72" s="550"/>
      <c r="Q72" s="551"/>
      <c r="R72" s="552"/>
      <c r="S72" s="553"/>
      <c r="T72" s="554">
        <f>T71+T68+T55+T36</f>
        <v>25606.888773421219</v>
      </c>
      <c r="U72" s="385">
        <f t="shared" si="46"/>
        <v>0.29895056126451808</v>
      </c>
      <c r="V72" s="549" t="s">
        <v>38</v>
      </c>
      <c r="W72" s="550"/>
      <c r="X72" s="551"/>
      <c r="Y72" s="552"/>
      <c r="Z72" s="553"/>
      <c r="AA72" s="554">
        <f>AA71+AA68+AA55+AA36</f>
        <v>25506.602640809895</v>
      </c>
      <c r="AB72" s="385">
        <f t="shared" si="64"/>
        <v>0.75851867265978079</v>
      </c>
      <c r="AC72" s="549" t="s">
        <v>38</v>
      </c>
      <c r="AD72" s="550"/>
      <c r="AE72" s="551"/>
      <c r="AF72" s="552"/>
      <c r="AG72" s="553"/>
      <c r="AH72" s="554">
        <f>AH71+AH68+AH55+AH36</f>
        <v>40676.176782367576</v>
      </c>
      <c r="AI72" s="385">
        <f t="shared" si="65"/>
        <v>0.74034418799379531</v>
      </c>
      <c r="AJ72" s="549" t="s">
        <v>38</v>
      </c>
      <c r="AK72" s="550"/>
      <c r="AL72" s="551"/>
      <c r="AM72" s="552"/>
      <c r="AN72" s="553"/>
      <c r="AO72" s="554">
        <f>AO71+AO68+AO55+AO36</f>
        <v>41856.733971485795</v>
      </c>
      <c r="AP72" s="385">
        <f t="shared" si="66"/>
        <v>0.74447959355275262</v>
      </c>
      <c r="AQ72" s="549" t="s">
        <v>38</v>
      </c>
      <c r="AR72" s="550"/>
      <c r="AS72" s="551"/>
      <c r="AT72" s="552"/>
      <c r="AU72" s="553"/>
      <c r="AV72" s="554">
        <f>AV71+AV68+AV55+AV36</f>
        <v>40299.662329152256</v>
      </c>
      <c r="AW72" s="385">
        <f t="shared" si="67"/>
        <v>0.73855251118583876</v>
      </c>
      <c r="AX72" s="549" t="s">
        <v>38</v>
      </c>
      <c r="AY72" s="550"/>
      <c r="AZ72" s="551"/>
      <c r="BA72" s="552"/>
      <c r="BB72" s="553"/>
      <c r="BC72" s="554">
        <f>BC71+BC68+BC55+BC36</f>
        <v>40102.253965114622</v>
      </c>
      <c r="BD72" s="385">
        <f t="shared" si="68"/>
        <v>0.73760320996523898</v>
      </c>
      <c r="BE72" s="549" t="s">
        <v>38</v>
      </c>
      <c r="BF72" s="550"/>
      <c r="BG72" s="551"/>
      <c r="BH72" s="552"/>
      <c r="BI72" s="553"/>
      <c r="BJ72" s="554">
        <f>BJ71+BJ68+BJ55+BJ36</f>
        <v>44175.845848877572</v>
      </c>
      <c r="BK72" s="385">
        <f t="shared" si="69"/>
        <v>0.44038123773465471</v>
      </c>
      <c r="BL72" s="549" t="s">
        <v>38</v>
      </c>
      <c r="BM72" s="550"/>
      <c r="BN72" s="551"/>
      <c r="BO72" s="552"/>
      <c r="BP72" s="553"/>
      <c r="BQ72" s="554">
        <f>BQ71+BQ68+BQ55+BQ36</f>
        <v>41227.183529540547</v>
      </c>
      <c r="BR72" s="385">
        <f t="shared" si="70"/>
        <v>0.69920112228659381</v>
      </c>
      <c r="BS72" s="549" t="s">
        <v>38</v>
      </c>
      <c r="BT72" s="550"/>
      <c r="BU72" s="551"/>
      <c r="BV72" s="552"/>
      <c r="BW72" s="553"/>
      <c r="BX72" s="554">
        <f>BX71+BX68+BX55+BX36</f>
        <v>39959.552946306416</v>
      </c>
      <c r="BY72" s="385">
        <f t="shared" si="71"/>
        <v>0.73691268242894115</v>
      </c>
      <c r="BZ72" s="549" t="s">
        <v>38</v>
      </c>
      <c r="CA72" s="550"/>
      <c r="CB72" s="551"/>
      <c r="CC72" s="552"/>
      <c r="CD72" s="553"/>
      <c r="CE72" s="554">
        <f>CE71+CE68+CE55+CE36</f>
        <v>41133.660520900099</v>
      </c>
      <c r="CF72" s="385">
        <f t="shared" si="72"/>
        <v>0.74115056828351877</v>
      </c>
      <c r="CG72" s="549" t="s">
        <v>38</v>
      </c>
      <c r="CH72" s="550"/>
      <c r="CI72" s="551"/>
      <c r="CJ72" s="552"/>
      <c r="CK72" s="553"/>
      <c r="CL72" s="554">
        <f>CL71+CL68+CL55+CL36</f>
        <v>39570.081217511273</v>
      </c>
      <c r="CM72" s="385">
        <f t="shared" si="73"/>
        <v>0.7350094062740743</v>
      </c>
      <c r="CN72" s="549" t="s">
        <v>38</v>
      </c>
      <c r="CO72" s="550"/>
      <c r="CP72" s="551"/>
      <c r="CQ72" s="552"/>
      <c r="CR72" s="553"/>
      <c r="CS72" s="554">
        <f>CS71+CS68+CS55+CS36</f>
        <v>39366.106623468877</v>
      </c>
      <c r="CT72" s="385">
        <f t="shared" si="74"/>
        <v>0.73400159068380477</v>
      </c>
      <c r="CU72" s="549" t="s">
        <v>38</v>
      </c>
      <c r="CV72" s="550"/>
      <c r="CW72" s="551"/>
      <c r="CX72" s="552"/>
      <c r="CY72" s="553"/>
      <c r="CZ72" s="554">
        <f>CZ71+CZ68+CZ55+CZ36</f>
        <v>40534.873181157018</v>
      </c>
      <c r="DA72" s="385">
        <f t="shared" si="75"/>
        <v>0.73832737910835045</v>
      </c>
      <c r="DB72" s="549" t="s">
        <v>38</v>
      </c>
      <c r="DC72" s="550"/>
      <c r="DD72" s="551"/>
      <c r="DE72" s="552"/>
      <c r="DF72" s="553"/>
      <c r="DG72" s="554">
        <f>DG71+DG68+DG55+DG36</f>
        <v>38965.904791710505</v>
      </c>
      <c r="DH72" s="385">
        <f t="shared" si="76"/>
        <v>0.6578524798383284</v>
      </c>
    </row>
    <row r="73" spans="1:113" ht="16.5" thickBot="1" x14ac:dyDescent="0.3">
      <c r="A73" s="446" t="s">
        <v>298</v>
      </c>
      <c r="B73" s="447"/>
      <c r="C73" s="543"/>
      <c r="D73" s="448"/>
      <c r="E73" s="449"/>
      <c r="F73" s="544">
        <f>F72+F35</f>
        <v>12069.545863383335</v>
      </c>
      <c r="G73" s="385">
        <f t="shared" si="62"/>
        <v>1</v>
      </c>
      <c r="H73" s="446" t="s">
        <v>313</v>
      </c>
      <c r="I73" s="447"/>
      <c r="J73" s="543"/>
      <c r="K73" s="448"/>
      <c r="L73" s="449"/>
      <c r="M73" s="544">
        <f>M72+M35</f>
        <v>12201.371776153783</v>
      </c>
      <c r="N73" s="385">
        <f t="shared" si="63"/>
        <v>1</v>
      </c>
      <c r="O73" s="446" t="s">
        <v>312</v>
      </c>
      <c r="P73" s="447"/>
      <c r="Q73" s="543"/>
      <c r="R73" s="448"/>
      <c r="S73" s="449"/>
      <c r="T73" s="544">
        <f>T72+T35</f>
        <v>85655.931419254557</v>
      </c>
      <c r="U73" s="385">
        <f t="shared" si="46"/>
        <v>1</v>
      </c>
      <c r="V73" s="446" t="s">
        <v>311</v>
      </c>
      <c r="W73" s="447"/>
      <c r="X73" s="543"/>
      <c r="Y73" s="448"/>
      <c r="Z73" s="449"/>
      <c r="AA73" s="544">
        <f>AA72+AA35</f>
        <v>33626.861882476558</v>
      </c>
      <c r="AB73" s="385">
        <f t="shared" si="64"/>
        <v>1</v>
      </c>
      <c r="AC73" s="446" t="s">
        <v>310</v>
      </c>
      <c r="AD73" s="447"/>
      <c r="AE73" s="543"/>
      <c r="AF73" s="448"/>
      <c r="AG73" s="449"/>
      <c r="AH73" s="544">
        <f>AH72+AH35</f>
        <v>54942.251782367573</v>
      </c>
      <c r="AI73" s="385">
        <f t="shared" si="65"/>
        <v>1</v>
      </c>
      <c r="AJ73" s="446" t="s">
        <v>309</v>
      </c>
      <c r="AK73" s="447"/>
      <c r="AL73" s="543"/>
      <c r="AM73" s="448"/>
      <c r="AN73" s="449"/>
      <c r="AO73" s="544">
        <f>AO72+AO35</f>
        <v>56222.808971485792</v>
      </c>
      <c r="AP73" s="385">
        <f t="shared" si="66"/>
        <v>1</v>
      </c>
      <c r="AQ73" s="446" t="s">
        <v>308</v>
      </c>
      <c r="AR73" s="447"/>
      <c r="AS73" s="543"/>
      <c r="AT73" s="448"/>
      <c r="AU73" s="449"/>
      <c r="AV73" s="544">
        <f>AV72+AV35</f>
        <v>54565.737329152253</v>
      </c>
      <c r="AW73" s="385">
        <f t="shared" si="67"/>
        <v>1</v>
      </c>
      <c r="AX73" s="446" t="s">
        <v>307</v>
      </c>
      <c r="AY73" s="447"/>
      <c r="AZ73" s="543"/>
      <c r="BA73" s="448"/>
      <c r="BB73" s="449"/>
      <c r="BC73" s="544">
        <f>BC72+BC35</f>
        <v>54368.328965114619</v>
      </c>
      <c r="BD73" s="385">
        <f t="shared" si="68"/>
        <v>1</v>
      </c>
      <c r="BE73" s="446" t="s">
        <v>306</v>
      </c>
      <c r="BF73" s="447"/>
      <c r="BG73" s="543"/>
      <c r="BH73" s="448"/>
      <c r="BI73" s="449"/>
      <c r="BJ73" s="544">
        <f>BJ72+BJ35</f>
        <v>100312.73374887757</v>
      </c>
      <c r="BK73" s="385">
        <f t="shared" si="69"/>
        <v>1</v>
      </c>
      <c r="BL73" s="446" t="s">
        <v>305</v>
      </c>
      <c r="BM73" s="447"/>
      <c r="BN73" s="543"/>
      <c r="BO73" s="448"/>
      <c r="BP73" s="449"/>
      <c r="BQ73" s="544">
        <f>BQ72+BQ35</f>
        <v>58963.268529540546</v>
      </c>
      <c r="BR73" s="385">
        <f t="shared" si="70"/>
        <v>1</v>
      </c>
      <c r="BS73" s="446" t="s">
        <v>304</v>
      </c>
      <c r="BT73" s="447"/>
      <c r="BU73" s="543"/>
      <c r="BV73" s="448"/>
      <c r="BW73" s="449"/>
      <c r="BX73" s="544">
        <f>BX72+BX35</f>
        <v>54225.627946306413</v>
      </c>
      <c r="BY73" s="385">
        <f t="shared" si="71"/>
        <v>1</v>
      </c>
      <c r="BZ73" s="446" t="s">
        <v>303</v>
      </c>
      <c r="CA73" s="447"/>
      <c r="CB73" s="543"/>
      <c r="CC73" s="448"/>
      <c r="CD73" s="449"/>
      <c r="CE73" s="544">
        <f>CE72+CE35</f>
        <v>55499.735520900096</v>
      </c>
      <c r="CF73" s="385">
        <f t="shared" si="72"/>
        <v>1</v>
      </c>
      <c r="CG73" s="446" t="s">
        <v>302</v>
      </c>
      <c r="CH73" s="447"/>
      <c r="CI73" s="543"/>
      <c r="CJ73" s="448"/>
      <c r="CK73" s="449"/>
      <c r="CL73" s="544">
        <f>CL72+CL35</f>
        <v>53836.15621751127</v>
      </c>
      <c r="CM73" s="385">
        <f t="shared" si="73"/>
        <v>1</v>
      </c>
      <c r="CN73" s="446" t="s">
        <v>301</v>
      </c>
      <c r="CO73" s="447"/>
      <c r="CP73" s="543"/>
      <c r="CQ73" s="448"/>
      <c r="CR73" s="449"/>
      <c r="CS73" s="544">
        <f>CS72+CS35</f>
        <v>53632.181623468874</v>
      </c>
      <c r="CT73" s="385">
        <f t="shared" si="74"/>
        <v>1</v>
      </c>
      <c r="CU73" s="446" t="s">
        <v>300</v>
      </c>
      <c r="CV73" s="447"/>
      <c r="CW73" s="543"/>
      <c r="CX73" s="448"/>
      <c r="CY73" s="449"/>
      <c r="CZ73" s="544">
        <f>CZ72+CZ35</f>
        <v>54900.948181157015</v>
      </c>
      <c r="DA73" s="385">
        <f t="shared" si="75"/>
        <v>1</v>
      </c>
      <c r="DB73" s="446" t="s">
        <v>299</v>
      </c>
      <c r="DC73" s="447"/>
      <c r="DD73" s="543"/>
      <c r="DE73" s="448"/>
      <c r="DF73" s="449"/>
      <c r="DG73" s="544">
        <f>DG72+DG35+DC79</f>
        <v>59231.979791710502</v>
      </c>
      <c r="DH73" s="385">
        <f t="shared" si="76"/>
        <v>1</v>
      </c>
    </row>
    <row r="74" spans="1:113" x14ac:dyDescent="0.2">
      <c r="A74" s="317" t="s">
        <v>327</v>
      </c>
      <c r="B74"/>
      <c r="C74"/>
      <c r="D74"/>
      <c r="E74"/>
      <c r="F74" s="38">
        <f>F12</f>
        <v>2700</v>
      </c>
      <c r="G74" s="13"/>
      <c r="H74" s="317" t="s">
        <v>327</v>
      </c>
      <c r="I74"/>
      <c r="M74" s="38">
        <f>M12</f>
        <v>2700</v>
      </c>
      <c r="N74" s="13"/>
      <c r="O74" s="317" t="s">
        <v>327</v>
      </c>
      <c r="R74"/>
      <c r="T74" s="38">
        <f>T12</f>
        <v>10781.099999999999</v>
      </c>
      <c r="U74" s="13"/>
      <c r="V74" s="317" t="s">
        <v>327</v>
      </c>
      <c r="AA74" s="38">
        <f>AA12</f>
        <v>29636.999999999996</v>
      </c>
      <c r="AB74" s="13"/>
      <c r="AC74" s="317" t="s">
        <v>327</v>
      </c>
      <c r="AH74" s="38">
        <f>AH12</f>
        <v>76500</v>
      </c>
      <c r="AI74" s="13"/>
      <c r="AJ74" s="317" t="s">
        <v>327</v>
      </c>
      <c r="AO74" s="38">
        <f>AO12</f>
        <v>76500</v>
      </c>
      <c r="AP74" s="13"/>
      <c r="AQ74" s="317" t="s">
        <v>327</v>
      </c>
      <c r="AV74" s="38">
        <f>AV12</f>
        <v>76500</v>
      </c>
      <c r="AW74" s="13"/>
      <c r="AX74" s="317" t="s">
        <v>327</v>
      </c>
      <c r="BC74" s="38">
        <f>BC12</f>
        <v>76500</v>
      </c>
      <c r="BD74" s="13"/>
      <c r="BE74" s="317" t="s">
        <v>327</v>
      </c>
      <c r="BJ74" s="38">
        <f>BJ12</f>
        <v>76500</v>
      </c>
      <c r="BK74" s="13"/>
      <c r="BL74" s="317" t="s">
        <v>327</v>
      </c>
      <c r="BQ74" s="38">
        <f>BQ12</f>
        <v>76500</v>
      </c>
      <c r="BR74" s="13"/>
      <c r="BS74" s="317" t="s">
        <v>327</v>
      </c>
      <c r="BX74" s="38">
        <f>BX12</f>
        <v>76500</v>
      </c>
      <c r="BY74" s="13"/>
      <c r="BZ74" s="317" t="s">
        <v>327</v>
      </c>
      <c r="CE74" s="38">
        <f>CE12</f>
        <v>76500</v>
      </c>
      <c r="CF74" s="13"/>
      <c r="CG74" s="317" t="s">
        <v>327</v>
      </c>
      <c r="CL74" s="38">
        <f>CL12</f>
        <v>76500</v>
      </c>
      <c r="CM74" s="13"/>
      <c r="CN74" s="317" t="s">
        <v>327</v>
      </c>
      <c r="CS74" s="38">
        <f>CS12</f>
        <v>76500</v>
      </c>
      <c r="CT74" s="13"/>
      <c r="CU74" s="317" t="s">
        <v>327</v>
      </c>
      <c r="CZ74" s="38">
        <f>CZ12</f>
        <v>76500</v>
      </c>
      <c r="DA74" s="13"/>
      <c r="DB74" s="317" t="s">
        <v>327</v>
      </c>
      <c r="DG74" s="38">
        <f>DG12</f>
        <v>76500</v>
      </c>
      <c r="DH74" s="13"/>
      <c r="DI74" s="1312"/>
    </row>
    <row r="75" spans="1:113" x14ac:dyDescent="0.2">
      <c r="A75" s="22" t="s">
        <v>329</v>
      </c>
      <c r="F75" s="31">
        <f>F74-F73</f>
        <v>-9369.545863383335</v>
      </c>
      <c r="G75" s="49"/>
      <c r="H75" s="22" t="s">
        <v>329</v>
      </c>
      <c r="I75" s="20"/>
      <c r="J75" s="12"/>
      <c r="K75" s="12"/>
      <c r="L75" s="30"/>
      <c r="M75" s="31">
        <f>M74-M73</f>
        <v>-9501.3717761537828</v>
      </c>
      <c r="N75" s="49"/>
      <c r="O75" s="22" t="s">
        <v>329</v>
      </c>
      <c r="P75" s="20"/>
      <c r="Q75" s="12"/>
      <c r="R75" s="12"/>
      <c r="S75" s="30"/>
      <c r="T75" s="31">
        <f>T74-T73</f>
        <v>-74874.831419254566</v>
      </c>
      <c r="U75" s="49"/>
      <c r="V75" s="22" t="s">
        <v>329</v>
      </c>
      <c r="W75" s="20"/>
      <c r="X75" s="12"/>
      <c r="Y75" s="12"/>
      <c r="Z75" s="30"/>
      <c r="AA75" s="31">
        <f>AA74-AA73</f>
        <v>-3989.8618824765617</v>
      </c>
      <c r="AB75" s="49"/>
      <c r="AC75" s="22" t="s">
        <v>329</v>
      </c>
      <c r="AD75" s="20"/>
      <c r="AE75" s="12"/>
      <c r="AF75" s="12"/>
      <c r="AG75" s="30"/>
      <c r="AH75" s="31">
        <f>AH74-AH73</f>
        <v>21557.748217632427</v>
      </c>
      <c r="AI75" s="49"/>
      <c r="AJ75" s="22" t="s">
        <v>329</v>
      </c>
      <c r="AK75" s="20"/>
      <c r="AL75" s="12"/>
      <c r="AM75" s="12"/>
      <c r="AN75" s="30"/>
      <c r="AO75" s="31">
        <f>AO74-AO73</f>
        <v>20277.191028514208</v>
      </c>
      <c r="AP75" s="49"/>
      <c r="AQ75" s="22" t="s">
        <v>329</v>
      </c>
      <c r="AR75" s="20"/>
      <c r="AS75" s="12"/>
      <c r="AT75" s="12"/>
      <c r="AU75" s="30"/>
      <c r="AV75" s="31">
        <f>AV74-AV73</f>
        <v>21934.262670847747</v>
      </c>
      <c r="AW75" s="49"/>
      <c r="AX75" s="22" t="s">
        <v>329</v>
      </c>
      <c r="AY75" s="20"/>
      <c r="AZ75" s="12"/>
      <c r="BA75" s="12"/>
      <c r="BB75" s="30"/>
      <c r="BC75" s="31">
        <f>BC74-BC73</f>
        <v>22131.671034885381</v>
      </c>
      <c r="BD75" s="49"/>
      <c r="BE75" s="22" t="s">
        <v>329</v>
      </c>
      <c r="BF75" s="20"/>
      <c r="BG75" s="12"/>
      <c r="BH75" s="12"/>
      <c r="BI75" s="30"/>
      <c r="BJ75" s="31">
        <f>BJ74-BJ73</f>
        <v>-23812.733748877567</v>
      </c>
      <c r="BK75" s="49"/>
      <c r="BL75" s="22" t="s">
        <v>329</v>
      </c>
      <c r="BM75" s="20"/>
      <c r="BN75" s="12"/>
      <c r="BO75" s="12"/>
      <c r="BP75" s="30"/>
      <c r="BQ75" s="31">
        <f>BQ74-BQ73</f>
        <v>17536.731470459454</v>
      </c>
      <c r="BR75" s="49"/>
      <c r="BS75" s="22" t="s">
        <v>329</v>
      </c>
      <c r="BT75" s="20"/>
      <c r="BU75" s="12"/>
      <c r="BV75" s="12"/>
      <c r="BW75" s="30"/>
      <c r="BX75" s="31">
        <f>BX74-BX73</f>
        <v>22274.372053693587</v>
      </c>
      <c r="BY75" s="49"/>
      <c r="BZ75" s="22" t="s">
        <v>329</v>
      </c>
      <c r="CA75" s="20"/>
      <c r="CB75" s="12"/>
      <c r="CC75" s="12"/>
      <c r="CD75" s="30"/>
      <c r="CE75" s="31">
        <f>CE74-CE73</f>
        <v>21000.264479099904</v>
      </c>
      <c r="CF75" s="49"/>
      <c r="CG75" s="22" t="s">
        <v>329</v>
      </c>
      <c r="CH75" s="20"/>
      <c r="CI75" s="12"/>
      <c r="CJ75" s="12"/>
      <c r="CK75" s="30"/>
      <c r="CL75" s="31">
        <f>CL74-CL73</f>
        <v>22663.84378248873</v>
      </c>
      <c r="CM75" s="49"/>
      <c r="CN75" s="22" t="s">
        <v>329</v>
      </c>
      <c r="CO75" s="20"/>
      <c r="CP75" s="12"/>
      <c r="CQ75" s="12"/>
      <c r="CR75" s="30"/>
      <c r="CS75" s="31">
        <f>CS74-CS73</f>
        <v>22867.818376531126</v>
      </c>
      <c r="CT75" s="49"/>
      <c r="CU75" s="22" t="s">
        <v>329</v>
      </c>
      <c r="CV75" s="20"/>
      <c r="CW75" s="12"/>
      <c r="CX75" s="12"/>
      <c r="CY75" s="30"/>
      <c r="CZ75" s="31">
        <f>CZ74-CZ73</f>
        <v>21599.051818842985</v>
      </c>
      <c r="DA75" s="49"/>
      <c r="DB75" s="22" t="s">
        <v>329</v>
      </c>
      <c r="DC75" s="20"/>
      <c r="DD75" s="12"/>
      <c r="DE75" s="12"/>
      <c r="DF75" s="30"/>
      <c r="DG75" s="31">
        <f>DG74-DG73</f>
        <v>17268.020208289498</v>
      </c>
      <c r="DH75" s="13"/>
      <c r="DI75" s="1312"/>
    </row>
    <row r="76" spans="1:113" x14ac:dyDescent="0.2">
      <c r="A76" s="17" t="s">
        <v>500</v>
      </c>
      <c r="F76" s="1217">
        <f>('Standard Erstellung'!E102)*(-1)</f>
        <v>-90890.014449999988</v>
      </c>
      <c r="G76" s="49"/>
      <c r="H76" s="62" t="s">
        <v>330</v>
      </c>
      <c r="I76" s="20"/>
      <c r="J76" s="12"/>
      <c r="K76" s="12"/>
      <c r="L76" s="30"/>
      <c r="M76" s="320">
        <f>F77</f>
        <v>-100259.56031338332</v>
      </c>
      <c r="N76" s="49"/>
      <c r="O76" s="62" t="s">
        <v>331</v>
      </c>
      <c r="P76" s="20"/>
      <c r="Q76" s="12"/>
      <c r="R76" s="12"/>
      <c r="S76" s="30"/>
      <c r="T76" s="320">
        <f>M77</f>
        <v>-109760.93208953711</v>
      </c>
      <c r="U76" s="49"/>
      <c r="V76" s="62" t="s">
        <v>345</v>
      </c>
      <c r="W76" s="20"/>
      <c r="X76" s="12"/>
      <c r="Y76" s="12"/>
      <c r="Z76" s="30"/>
      <c r="AA76" s="320">
        <f>T77</f>
        <v>-184635.76350879166</v>
      </c>
      <c r="AB76" s="49"/>
      <c r="AC76" s="62" t="s">
        <v>344</v>
      </c>
      <c r="AD76" s="20"/>
      <c r="AE76" s="12"/>
      <c r="AF76" s="12"/>
      <c r="AG76" s="30"/>
      <c r="AH76" s="320">
        <f>AA77</f>
        <v>-188625.62539126823</v>
      </c>
      <c r="AI76" s="49"/>
      <c r="AJ76" s="62" t="s">
        <v>343</v>
      </c>
      <c r="AK76" s="20"/>
      <c r="AL76" s="12"/>
      <c r="AM76" s="12"/>
      <c r="AN76" s="30"/>
      <c r="AO76" s="320">
        <f>AH77</f>
        <v>-167067.87717363582</v>
      </c>
      <c r="AP76" s="49"/>
      <c r="AQ76" s="62" t="s">
        <v>342</v>
      </c>
      <c r="AR76" s="20"/>
      <c r="AS76" s="12"/>
      <c r="AT76" s="12"/>
      <c r="AU76" s="30"/>
      <c r="AV76" s="320">
        <f>AO77</f>
        <v>-146790.68614512161</v>
      </c>
      <c r="AW76" s="49"/>
      <c r="AX76" s="62" t="s">
        <v>341</v>
      </c>
      <c r="AY76" s="20"/>
      <c r="AZ76" s="12"/>
      <c r="BA76" s="12"/>
      <c r="BB76" s="30"/>
      <c r="BC76" s="320">
        <f>AV77</f>
        <v>-124856.42347427388</v>
      </c>
      <c r="BD76" s="49"/>
      <c r="BE76" s="62" t="s">
        <v>340</v>
      </c>
      <c r="BF76" s="20"/>
      <c r="BG76" s="12"/>
      <c r="BH76" s="12"/>
      <c r="BI76" s="30"/>
      <c r="BJ76" s="320">
        <f>BC77</f>
        <v>-102724.75243938848</v>
      </c>
      <c r="BK76" s="49"/>
      <c r="BL76" s="62" t="s">
        <v>339</v>
      </c>
      <c r="BM76" s="20"/>
      <c r="BN76" s="12"/>
      <c r="BO76" s="12"/>
      <c r="BP76" s="30"/>
      <c r="BQ76" s="320">
        <f>BJ77</f>
        <v>-126537.48618826605</v>
      </c>
      <c r="BR76" s="49"/>
      <c r="BS76" s="62" t="s">
        <v>338</v>
      </c>
      <c r="BT76" s="20"/>
      <c r="BU76" s="12"/>
      <c r="BV76" s="12"/>
      <c r="BW76" s="30"/>
      <c r="BX76" s="320">
        <f>BQ77</f>
        <v>-109000.75471780659</v>
      </c>
      <c r="BY76" s="49"/>
      <c r="BZ76" s="62" t="s">
        <v>337</v>
      </c>
      <c r="CA76" s="20"/>
      <c r="CB76" s="12"/>
      <c r="CC76" s="12"/>
      <c r="CD76" s="30"/>
      <c r="CE76" s="320">
        <f>BX77</f>
        <v>-86726.382664113014</v>
      </c>
      <c r="CF76" s="49"/>
      <c r="CG76" s="62" t="s">
        <v>336</v>
      </c>
      <c r="CH76" s="20"/>
      <c r="CI76" s="12"/>
      <c r="CJ76" s="12"/>
      <c r="CK76" s="30"/>
      <c r="CL76" s="320">
        <f>CE77</f>
        <v>-65726.118185013125</v>
      </c>
      <c r="CM76" s="49"/>
      <c r="CN76" s="62" t="s">
        <v>335</v>
      </c>
      <c r="CO76" s="20"/>
      <c r="CP76" s="12"/>
      <c r="CQ76" s="12"/>
      <c r="CR76" s="30"/>
      <c r="CS76" s="320">
        <f>CL77</f>
        <v>-43062.274402524403</v>
      </c>
      <c r="CT76" s="49"/>
      <c r="CU76" s="62" t="s">
        <v>334</v>
      </c>
      <c r="CV76" s="20"/>
      <c r="CW76" s="12"/>
      <c r="CX76" s="12"/>
      <c r="CY76" s="30"/>
      <c r="CZ76" s="320">
        <f>CS77</f>
        <v>-20194.456025993277</v>
      </c>
      <c r="DA76" s="49"/>
      <c r="DB76" s="62" t="s">
        <v>333</v>
      </c>
      <c r="DC76" s="20"/>
      <c r="DD76" s="12"/>
      <c r="DE76" s="12"/>
      <c r="DF76" s="30"/>
      <c r="DG76" s="320">
        <f>CZ77</f>
        <v>1404.5957928497082</v>
      </c>
      <c r="DH76" s="13"/>
      <c r="DI76" s="1312"/>
    </row>
    <row r="77" spans="1:113" ht="21" customHeight="1" x14ac:dyDescent="0.25">
      <c r="A77" s="65" t="s">
        <v>330</v>
      </c>
      <c r="B77" s="66"/>
      <c r="C77" s="66"/>
      <c r="D77" s="66"/>
      <c r="E77" s="66"/>
      <c r="F77" s="158">
        <f>((F73)*(-1))+F76+F74</f>
        <v>-100259.56031338332</v>
      </c>
      <c r="G77" s="67"/>
      <c r="H77" s="65" t="s">
        <v>331</v>
      </c>
      <c r="I77" s="66"/>
      <c r="J77" s="66"/>
      <c r="K77" s="66"/>
      <c r="L77" s="66"/>
      <c r="M77" s="158">
        <f>((M73)*(-1))+M76+M74</f>
        <v>-109760.93208953711</v>
      </c>
      <c r="N77" s="67"/>
      <c r="O77" s="65" t="s">
        <v>345</v>
      </c>
      <c r="P77" s="66"/>
      <c r="Q77" s="66"/>
      <c r="R77" s="66"/>
      <c r="S77" s="66"/>
      <c r="T77" s="158">
        <f>((T73)*(-1))+T76+T74</f>
        <v>-184635.76350879166</v>
      </c>
      <c r="U77" s="67"/>
      <c r="V77" s="65" t="s">
        <v>344</v>
      </c>
      <c r="W77" s="66"/>
      <c r="X77" s="66"/>
      <c r="Y77" s="66"/>
      <c r="Z77" s="66"/>
      <c r="AA77" s="158">
        <f>((AA73)*(-1))+AA76+AA74</f>
        <v>-188625.62539126823</v>
      </c>
      <c r="AB77" s="67"/>
      <c r="AC77" s="65" t="s">
        <v>343</v>
      </c>
      <c r="AD77" s="66"/>
      <c r="AE77" s="66"/>
      <c r="AF77" s="66"/>
      <c r="AG77" s="66"/>
      <c r="AH77" s="158">
        <f>((AH73)*(-1))+AH76+AH74</f>
        <v>-167067.87717363582</v>
      </c>
      <c r="AI77" s="67"/>
      <c r="AJ77" s="65" t="s">
        <v>342</v>
      </c>
      <c r="AK77" s="66"/>
      <c r="AL77" s="66"/>
      <c r="AM77" s="66"/>
      <c r="AN77" s="66"/>
      <c r="AO77" s="158">
        <f>((AO73)*(-1))+AO76+AO74</f>
        <v>-146790.68614512161</v>
      </c>
      <c r="AP77" s="67"/>
      <c r="AQ77" s="65" t="s">
        <v>341</v>
      </c>
      <c r="AR77" s="66"/>
      <c r="AS77" s="66"/>
      <c r="AT77" s="66"/>
      <c r="AU77" s="66"/>
      <c r="AV77" s="158">
        <f>((AV73)*(-1))+AV76+AV74</f>
        <v>-124856.42347427388</v>
      </c>
      <c r="AW77" s="67"/>
      <c r="AX77" s="65" t="s">
        <v>340</v>
      </c>
      <c r="AY77" s="66"/>
      <c r="AZ77" s="66"/>
      <c r="BA77" s="66"/>
      <c r="BB77" s="66"/>
      <c r="BC77" s="158">
        <f>((BC73)*(-1))+BC76+BC74</f>
        <v>-102724.75243938848</v>
      </c>
      <c r="BD77" s="67"/>
      <c r="BE77" s="65" t="s">
        <v>339</v>
      </c>
      <c r="BF77" s="66"/>
      <c r="BG77" s="66"/>
      <c r="BH77" s="66"/>
      <c r="BI77" s="66"/>
      <c r="BJ77" s="158">
        <f>((BJ73)*(-1))+BJ76+BJ74</f>
        <v>-126537.48618826605</v>
      </c>
      <c r="BK77" s="67"/>
      <c r="BL77" s="65" t="s">
        <v>338</v>
      </c>
      <c r="BM77" s="66"/>
      <c r="BN77" s="66"/>
      <c r="BO77" s="66"/>
      <c r="BP77" s="66"/>
      <c r="BQ77" s="158">
        <f>((BQ73)*(-1))+BQ76+BQ74</f>
        <v>-109000.75471780659</v>
      </c>
      <c r="BR77" s="67"/>
      <c r="BS77" s="65" t="s">
        <v>337</v>
      </c>
      <c r="BT77" s="66"/>
      <c r="BU77" s="66"/>
      <c r="BV77" s="66"/>
      <c r="BW77" s="66"/>
      <c r="BX77" s="158">
        <f>((BX73)*(-1))+BX76+BX74</f>
        <v>-86726.382664113014</v>
      </c>
      <c r="BY77" s="67"/>
      <c r="BZ77" s="65" t="s">
        <v>336</v>
      </c>
      <c r="CA77" s="66"/>
      <c r="CB77" s="66"/>
      <c r="CC77" s="66"/>
      <c r="CD77" s="66"/>
      <c r="CE77" s="158">
        <f>((CE73)*(-1))+CE76+CE74</f>
        <v>-65726.118185013125</v>
      </c>
      <c r="CF77" s="67"/>
      <c r="CG77" s="65" t="s">
        <v>335</v>
      </c>
      <c r="CH77" s="66"/>
      <c r="CI77" s="66"/>
      <c r="CJ77" s="66"/>
      <c r="CK77" s="66"/>
      <c r="CL77" s="158">
        <f>((CL73)*(-1))+CL76+CL74</f>
        <v>-43062.274402524403</v>
      </c>
      <c r="CM77" s="67"/>
      <c r="CN77" s="65" t="s">
        <v>334</v>
      </c>
      <c r="CO77" s="66"/>
      <c r="CP77" s="66"/>
      <c r="CQ77" s="66"/>
      <c r="CR77" s="66"/>
      <c r="CS77" s="158">
        <f>((CS73)*(-1))+CS76+CS74</f>
        <v>-20194.456025993277</v>
      </c>
      <c r="CT77" s="67"/>
      <c r="CU77" s="65" t="s">
        <v>333</v>
      </c>
      <c r="CV77" s="66"/>
      <c r="CW77" s="66"/>
      <c r="CX77" s="66"/>
      <c r="CY77" s="66"/>
      <c r="CZ77" s="158">
        <f>((CZ73)*(-1))+CZ76+CZ74</f>
        <v>1404.5957928497082</v>
      </c>
      <c r="DA77" s="67"/>
      <c r="DB77" s="65" t="s">
        <v>332</v>
      </c>
      <c r="DC77" s="66"/>
      <c r="DD77" s="66"/>
      <c r="DE77" s="66"/>
      <c r="DF77" s="66"/>
      <c r="DG77" s="158">
        <f>((DG73)*(-1))+DG76+DG74</f>
        <v>18672.616001139206</v>
      </c>
      <c r="DH77" s="168"/>
      <c r="DI77" s="1312"/>
    </row>
    <row r="78" spans="1:113" x14ac:dyDescent="0.2">
      <c r="A78" s="318" t="s">
        <v>72</v>
      </c>
      <c r="B78" s="162"/>
      <c r="C78" s="160"/>
      <c r="D78" s="160"/>
      <c r="E78" s="160"/>
      <c r="F78" s="160">
        <f>F77*(-1)</f>
        <v>100259.56031338332</v>
      </c>
      <c r="G78" s="160"/>
      <c r="H78" s="318" t="s">
        <v>72</v>
      </c>
      <c r="I78" s="162"/>
      <c r="J78" s="160"/>
      <c r="K78" s="160"/>
      <c r="L78" s="160"/>
      <c r="M78" s="160">
        <f>M77*(-1)</f>
        <v>109760.93208953711</v>
      </c>
      <c r="N78" s="160"/>
      <c r="O78" s="318" t="s">
        <v>72</v>
      </c>
      <c r="P78" s="162"/>
      <c r="Q78" s="160"/>
      <c r="R78" s="160"/>
      <c r="S78" s="160"/>
      <c r="T78" s="160">
        <f>T77*(-1)</f>
        <v>184635.76350879166</v>
      </c>
      <c r="U78" s="160"/>
      <c r="V78" s="319" t="s">
        <v>72</v>
      </c>
      <c r="W78" s="162"/>
      <c r="X78" s="160"/>
      <c r="Y78" s="160"/>
      <c r="Z78" s="160"/>
      <c r="AA78" s="236">
        <f>(AA77)*(-1)</f>
        <v>188625.62539126823</v>
      </c>
      <c r="AB78" s="160"/>
      <c r="AC78" s="319" t="s">
        <v>72</v>
      </c>
      <c r="AD78" s="162"/>
      <c r="AE78" s="160"/>
      <c r="AF78" s="160"/>
      <c r="AG78" s="160"/>
      <c r="AH78" s="237">
        <f>(AA78)-($AA$78/'Standard Vorgaben'!$B$24)</f>
        <v>172906.8232753292</v>
      </c>
      <c r="AI78" s="160"/>
      <c r="AJ78" s="319" t="s">
        <v>72</v>
      </c>
      <c r="AK78" s="162"/>
      <c r="AL78" s="160"/>
      <c r="AM78" s="160"/>
      <c r="AN78" s="160"/>
      <c r="AO78" s="237">
        <f>(AH78)-($AA$78/'Standard Vorgaben'!$B$24)</f>
        <v>157188.02115939016</v>
      </c>
      <c r="AP78" s="160"/>
      <c r="AQ78" s="319" t="s">
        <v>72</v>
      </c>
      <c r="AR78" s="162"/>
      <c r="AS78" s="160"/>
      <c r="AT78" s="160"/>
      <c r="AU78" s="160"/>
      <c r="AV78" s="237">
        <f>(AO78)-($AA$78/'Standard Vorgaben'!$B$24)</f>
        <v>141469.21904345113</v>
      </c>
      <c r="AW78" s="160"/>
      <c r="AX78" s="319" t="s">
        <v>72</v>
      </c>
      <c r="AY78" s="162"/>
      <c r="AZ78" s="160"/>
      <c r="BA78" s="160"/>
      <c r="BB78" s="160"/>
      <c r="BC78" s="237">
        <f>(AV78)-($AA$78/'Standard Vorgaben'!$B$24)</f>
        <v>125750.41692751211</v>
      </c>
      <c r="BD78" s="160"/>
      <c r="BE78" s="319" t="s">
        <v>72</v>
      </c>
      <c r="BF78" s="162"/>
      <c r="BG78" s="160"/>
      <c r="BH78" s="160"/>
      <c r="BI78" s="160"/>
      <c r="BJ78" s="237">
        <f>(BC78)-($AA$78/'Standard Vorgaben'!$B$24)</f>
        <v>110031.61481157309</v>
      </c>
      <c r="BK78" s="160"/>
      <c r="BL78" s="319" t="s">
        <v>72</v>
      </c>
      <c r="BM78" s="162"/>
      <c r="BN78" s="160"/>
      <c r="BO78" s="160"/>
      <c r="BP78" s="160"/>
      <c r="BQ78" s="237">
        <f>(BJ78)-($AA$78/'Standard Vorgaben'!$B$24)</f>
        <v>94312.812695634071</v>
      </c>
      <c r="BR78" s="160"/>
      <c r="BS78" s="319" t="s">
        <v>72</v>
      </c>
      <c r="BT78" s="162"/>
      <c r="BU78" s="160"/>
      <c r="BV78" s="160"/>
      <c r="BW78" s="160"/>
      <c r="BX78" s="237">
        <f>(BQ78)-($AA$78/'Standard Vorgaben'!$B$24)</f>
        <v>78594.010579695052</v>
      </c>
      <c r="BY78" s="160"/>
      <c r="BZ78" s="319" t="s">
        <v>72</v>
      </c>
      <c r="CA78" s="162"/>
      <c r="CB78" s="160"/>
      <c r="CC78" s="160"/>
      <c r="CD78" s="160"/>
      <c r="CE78" s="237">
        <f>(BX78)-($AA$78/'Standard Vorgaben'!$B$24)</f>
        <v>62875.208463756033</v>
      </c>
      <c r="CF78" s="160"/>
      <c r="CG78" s="319" t="s">
        <v>72</v>
      </c>
      <c r="CH78" s="162"/>
      <c r="CI78" s="160"/>
      <c r="CJ78" s="160"/>
      <c r="CK78" s="160"/>
      <c r="CL78" s="237">
        <f>(CE78)-($AA$78/'Standard Vorgaben'!$B$24)</f>
        <v>47156.406347817014</v>
      </c>
      <c r="CM78" s="160"/>
      <c r="CN78" s="319" t="s">
        <v>72</v>
      </c>
      <c r="CO78" s="162"/>
      <c r="CP78" s="160"/>
      <c r="CQ78" s="160"/>
      <c r="CR78" s="160"/>
      <c r="CS78" s="237">
        <f>(CL78)-($AA$78/'Standard Vorgaben'!$B$24)</f>
        <v>31437.604231877995</v>
      </c>
      <c r="CT78" s="160"/>
      <c r="CU78" s="319" t="s">
        <v>72</v>
      </c>
      <c r="CV78" s="162"/>
      <c r="CW78" s="160"/>
      <c r="CX78" s="160"/>
      <c r="CY78" s="160"/>
      <c r="CZ78" s="237">
        <f>(CS78)-($AA$78/'Standard Vorgaben'!$B$24)</f>
        <v>15718.802115938975</v>
      </c>
      <c r="DA78" s="160"/>
      <c r="DB78" s="163" t="s">
        <v>72</v>
      </c>
      <c r="DC78" s="162"/>
      <c r="DD78" s="160"/>
      <c r="DE78" s="160"/>
      <c r="DF78" s="160"/>
      <c r="DG78" s="237">
        <f>(CZ78)-($AA$78/'Standard Vorgaben'!$B$24)</f>
        <v>-4.3655745685100555E-11</v>
      </c>
      <c r="DH78" s="160"/>
      <c r="DI78" s="1312"/>
    </row>
    <row r="79" spans="1:113" x14ac:dyDescent="0.2">
      <c r="A79"/>
      <c r="B79"/>
      <c r="C79"/>
      <c r="D79"/>
      <c r="E79"/>
      <c r="F79"/>
      <c r="G79"/>
      <c r="H79"/>
      <c r="I79"/>
      <c r="R79"/>
      <c r="DA79"/>
      <c r="DB79" s="121" t="s">
        <v>162</v>
      </c>
      <c r="DC79">
        <f>'Standard Vorgaben'!C33</f>
        <v>6000</v>
      </c>
      <c r="DH79"/>
    </row>
    <row r="80" spans="1:113" x14ac:dyDescent="0.2">
      <c r="A80"/>
      <c r="B80"/>
      <c r="C80"/>
      <c r="D80"/>
      <c r="E80"/>
      <c r="F80"/>
      <c r="G80"/>
      <c r="H80"/>
      <c r="I80"/>
      <c r="R80"/>
      <c r="DA80"/>
      <c r="DH80"/>
    </row>
    <row r="81" spans="1:112" x14ac:dyDescent="0.2">
      <c r="A81"/>
      <c r="B81"/>
      <c r="C81"/>
      <c r="D81"/>
      <c r="E81"/>
      <c r="F81"/>
      <c r="G81"/>
      <c r="H81"/>
      <c r="I81"/>
      <c r="R81"/>
      <c r="DA81"/>
      <c r="DH81"/>
    </row>
    <row r="82" spans="1:112" ht="20.25" customHeight="1" x14ac:dyDescent="0.2">
      <c r="A82"/>
      <c r="B82"/>
      <c r="C82"/>
      <c r="D82"/>
      <c r="E82"/>
      <c r="F82"/>
      <c r="G82"/>
      <c r="H82"/>
      <c r="I82"/>
      <c r="R82"/>
      <c r="AH82" s="47"/>
      <c r="DA82"/>
      <c r="DH82"/>
    </row>
    <row r="83" spans="1:112" x14ac:dyDescent="0.2">
      <c r="A83"/>
      <c r="B83"/>
      <c r="C83"/>
      <c r="D83"/>
      <c r="E83"/>
      <c r="F83"/>
      <c r="G83"/>
      <c r="H83"/>
      <c r="I83"/>
      <c r="R83"/>
      <c r="DA83"/>
      <c r="DH83"/>
    </row>
    <row r="84" spans="1:112" x14ac:dyDescent="0.2">
      <c r="A84"/>
      <c r="B84"/>
      <c r="C84"/>
      <c r="D84"/>
      <c r="E84"/>
      <c r="F84"/>
      <c r="G84"/>
      <c r="H84"/>
      <c r="I84"/>
      <c r="R84"/>
      <c r="DA84"/>
      <c r="DH84"/>
    </row>
    <row r="85" spans="1:112" x14ac:dyDescent="0.2">
      <c r="A85"/>
      <c r="B85"/>
      <c r="C85"/>
      <c r="D85"/>
      <c r="E85"/>
      <c r="F85"/>
      <c r="G85"/>
      <c r="H85"/>
      <c r="I85"/>
      <c r="R85"/>
      <c r="DA85"/>
      <c r="DH85"/>
    </row>
    <row r="86" spans="1:112" x14ac:dyDescent="0.2">
      <c r="A86"/>
      <c r="B86"/>
      <c r="C86"/>
      <c r="D86"/>
      <c r="E86"/>
      <c r="F86"/>
      <c r="G86"/>
      <c r="H86"/>
      <c r="I86"/>
      <c r="R86"/>
      <c r="DA86"/>
      <c r="DH86"/>
    </row>
    <row r="87" spans="1:112" x14ac:dyDescent="0.2">
      <c r="A87"/>
      <c r="B87"/>
      <c r="C87"/>
      <c r="D87"/>
      <c r="E87"/>
      <c r="F87"/>
      <c r="G87"/>
      <c r="H87"/>
      <c r="I87"/>
      <c r="R87"/>
      <c r="DA87"/>
      <c r="DH87"/>
    </row>
    <row r="88" spans="1:112" x14ac:dyDescent="0.2">
      <c r="A88"/>
      <c r="B88"/>
      <c r="C88"/>
      <c r="D88"/>
      <c r="E88"/>
      <c r="F88"/>
      <c r="G88"/>
      <c r="H88"/>
      <c r="I88"/>
      <c r="R88"/>
      <c r="DA88"/>
      <c r="DH88"/>
    </row>
    <row r="89" spans="1:112" x14ac:dyDescent="0.2">
      <c r="A89"/>
      <c r="B89"/>
      <c r="C89"/>
      <c r="D89"/>
      <c r="E89"/>
      <c r="F89"/>
      <c r="G89"/>
      <c r="H89"/>
      <c r="I89"/>
      <c r="R89"/>
      <c r="DA89"/>
      <c r="DH89"/>
    </row>
    <row r="90" spans="1:112" x14ac:dyDescent="0.2">
      <c r="A90"/>
      <c r="B90"/>
      <c r="C90"/>
      <c r="D90"/>
      <c r="E90"/>
      <c r="F90"/>
      <c r="G90"/>
      <c r="H90"/>
      <c r="I90"/>
      <c r="R90"/>
      <c r="DA90"/>
      <c r="DH90"/>
    </row>
    <row r="91" spans="1:112" x14ac:dyDescent="0.2">
      <c r="A91"/>
      <c r="B91"/>
      <c r="C91"/>
      <c r="D91"/>
      <c r="E91"/>
      <c r="F91"/>
      <c r="G91"/>
      <c r="H91"/>
      <c r="I91"/>
      <c r="R91"/>
      <c r="DA91"/>
      <c r="DH91"/>
    </row>
    <row r="92" spans="1:112" x14ac:dyDescent="0.2">
      <c r="A92"/>
      <c r="B92"/>
      <c r="C92"/>
      <c r="D92"/>
      <c r="E92"/>
      <c r="F92"/>
      <c r="G92"/>
      <c r="H92"/>
      <c r="I92"/>
      <c r="R92"/>
      <c r="DA92"/>
      <c r="DH92"/>
    </row>
    <row r="93" spans="1:112" x14ac:dyDescent="0.2">
      <c r="A93"/>
      <c r="B93"/>
      <c r="C93"/>
      <c r="D93"/>
      <c r="E93"/>
      <c r="F93"/>
      <c r="G93"/>
      <c r="H93"/>
      <c r="I93"/>
      <c r="R93"/>
      <c r="DA93"/>
      <c r="DH93"/>
    </row>
    <row r="94" spans="1:112" x14ac:dyDescent="0.2">
      <c r="A94"/>
      <c r="B94"/>
      <c r="C94"/>
      <c r="D94"/>
      <c r="E94"/>
      <c r="F94"/>
      <c r="G94"/>
      <c r="H94"/>
      <c r="I94"/>
      <c r="R94"/>
      <c r="DA94"/>
      <c r="DH94"/>
    </row>
    <row r="95" spans="1:112" x14ac:dyDescent="0.2">
      <c r="A95"/>
      <c r="B95"/>
      <c r="C95"/>
      <c r="D95"/>
      <c r="E95"/>
      <c r="F95"/>
      <c r="G95"/>
      <c r="H95"/>
      <c r="I95"/>
      <c r="R95"/>
      <c r="DA95"/>
      <c r="DH95"/>
    </row>
    <row r="96" spans="1:112" x14ac:dyDescent="0.2">
      <c r="A96" s="51"/>
      <c r="B96" s="263"/>
      <c r="C96" s="57"/>
      <c r="D96" s="57"/>
      <c r="E96" s="58"/>
      <c r="F96" s="59"/>
      <c r="G96" s="57"/>
      <c r="H96" s="57"/>
      <c r="I96" s="57"/>
      <c r="J96" s="24"/>
      <c r="K96" s="24"/>
      <c r="L96" s="24"/>
      <c r="M96" s="24"/>
      <c r="N96" s="24"/>
      <c r="O96" s="57"/>
      <c r="P96" s="57"/>
      <c r="Q96" s="24"/>
      <c r="R96" s="50"/>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row>
    <row r="97" spans="1:112" x14ac:dyDescent="0.2">
      <c r="A97" s="51"/>
      <c r="B97" s="263"/>
      <c r="C97" s="57"/>
      <c r="D97" s="57"/>
      <c r="E97" s="58"/>
      <c r="F97" s="59"/>
      <c r="G97" s="57"/>
      <c r="H97" s="57"/>
      <c r="I97" s="57"/>
      <c r="J97" s="24"/>
      <c r="K97" s="24"/>
      <c r="L97" s="24"/>
      <c r="M97" s="24"/>
      <c r="N97" s="24"/>
      <c r="O97" s="57"/>
      <c r="P97" s="57"/>
      <c r="Q97" s="24"/>
      <c r="R97" s="50"/>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row>
    <row r="98" spans="1:112" x14ac:dyDescent="0.2">
      <c r="A98" s="51"/>
      <c r="B98" s="263"/>
      <c r="C98" s="57"/>
      <c r="D98" s="57"/>
      <c r="E98" s="58"/>
      <c r="F98" s="59"/>
      <c r="G98" s="57"/>
      <c r="H98" s="57"/>
      <c r="I98" s="57"/>
      <c r="J98" s="24"/>
      <c r="K98" s="24"/>
      <c r="L98" s="24"/>
      <c r="M98" s="24"/>
      <c r="N98" s="24"/>
      <c r="O98" s="57"/>
      <c r="P98" s="57"/>
      <c r="Q98" s="24"/>
      <c r="R98" s="50"/>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row>
    <row r="99" spans="1:112" x14ac:dyDescent="0.2">
      <c r="A99" s="51"/>
      <c r="B99" s="263"/>
      <c r="C99" s="57"/>
      <c r="D99" s="57"/>
      <c r="E99" s="58"/>
      <c r="F99" s="59"/>
      <c r="G99" s="57"/>
      <c r="H99" s="57"/>
      <c r="I99" s="57"/>
      <c r="J99" s="24"/>
      <c r="K99" s="24"/>
      <c r="L99" s="24"/>
      <c r="M99" s="24"/>
      <c r="N99" s="24"/>
      <c r="O99" s="57"/>
      <c r="P99" s="57"/>
      <c r="Q99" s="24"/>
      <c r="R99" s="50"/>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row>
    <row r="100" spans="1:112" x14ac:dyDescent="0.2">
      <c r="A100" s="51"/>
      <c r="B100" s="263"/>
      <c r="C100" s="57"/>
      <c r="D100" s="57"/>
      <c r="E100" s="60"/>
      <c r="F100" s="59"/>
      <c r="G100" s="57"/>
      <c r="H100" s="57"/>
      <c r="I100" s="57"/>
      <c r="J100" s="24"/>
      <c r="K100" s="24"/>
      <c r="L100" s="24"/>
      <c r="M100" s="24"/>
      <c r="N100" s="24"/>
      <c r="O100" s="57"/>
      <c r="P100" s="57"/>
      <c r="Q100" s="24"/>
      <c r="R100" s="50"/>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row>
    <row r="101" spans="1:112" x14ac:dyDescent="0.2">
      <c r="A101" s="51"/>
      <c r="B101" s="263"/>
      <c r="C101" s="57"/>
      <c r="D101" s="57"/>
      <c r="E101" s="58"/>
      <c r="F101" s="59"/>
      <c r="G101" s="57"/>
      <c r="H101" s="57"/>
      <c r="I101" s="57"/>
      <c r="J101" s="24"/>
      <c r="K101" s="24"/>
      <c r="L101" s="24"/>
      <c r="M101" s="24"/>
      <c r="N101" s="24"/>
      <c r="O101" s="57"/>
      <c r="P101" s="57"/>
      <c r="Q101" s="24"/>
      <c r="R101" s="50"/>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row>
    <row r="102" spans="1:112" x14ac:dyDescent="0.2">
      <c r="A102" s="51"/>
      <c r="B102" s="263"/>
      <c r="C102" s="57"/>
      <c r="D102" s="57"/>
      <c r="E102" s="58"/>
      <c r="F102" s="59"/>
      <c r="G102" s="57"/>
      <c r="H102" s="57"/>
      <c r="I102" s="57"/>
      <c r="J102" s="24"/>
      <c r="K102" s="24"/>
      <c r="L102" s="24"/>
      <c r="M102" s="24"/>
      <c r="N102" s="24"/>
      <c r="O102" s="57"/>
      <c r="P102" s="57"/>
      <c r="Q102" s="24"/>
      <c r="R102" s="50"/>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row>
    <row r="103" spans="1:112" x14ac:dyDescent="0.2">
      <c r="A103" s="51"/>
      <c r="B103" s="263"/>
      <c r="C103" s="57"/>
      <c r="D103" s="57"/>
      <c r="E103" s="58"/>
      <c r="F103" s="59"/>
      <c r="G103" s="57"/>
      <c r="H103" s="57"/>
      <c r="I103" s="57"/>
      <c r="J103" s="24"/>
      <c r="K103" s="24"/>
      <c r="L103" s="24"/>
      <c r="M103" s="24"/>
      <c r="N103" s="24"/>
      <c r="O103" s="57"/>
      <c r="P103" s="57"/>
      <c r="Q103" s="24"/>
      <c r="R103" s="50"/>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row>
    <row r="104" spans="1:112" x14ac:dyDescent="0.2">
      <c r="A104" s="51"/>
      <c r="B104" s="53"/>
      <c r="C104" s="57"/>
      <c r="D104" s="57"/>
      <c r="E104" s="58"/>
      <c r="F104" s="59"/>
      <c r="G104" s="57"/>
      <c r="H104" s="57"/>
      <c r="I104" s="57"/>
      <c r="J104" s="24"/>
      <c r="K104" s="24"/>
      <c r="L104" s="24"/>
      <c r="M104" s="24"/>
      <c r="N104" s="24"/>
      <c r="O104" s="57"/>
      <c r="P104" s="57"/>
      <c r="Q104" s="24"/>
      <c r="R104" s="50"/>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row>
    <row r="105" spans="1:112" x14ac:dyDescent="0.2">
      <c r="A105" s="51"/>
      <c r="B105" s="52"/>
      <c r="C105" s="57"/>
      <c r="D105" s="57"/>
      <c r="E105" s="58"/>
      <c r="F105" s="59"/>
      <c r="G105" s="57"/>
      <c r="H105" s="57"/>
      <c r="I105" s="57"/>
      <c r="J105" s="24"/>
      <c r="K105" s="24"/>
      <c r="L105" s="24"/>
      <c r="M105" s="24"/>
      <c r="N105" s="24"/>
      <c r="O105" s="57"/>
      <c r="P105" s="57"/>
      <c r="Q105" s="24"/>
      <c r="R105" s="50"/>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row>
    <row r="106" spans="1:112" x14ac:dyDescent="0.2">
      <c r="A106" s="51"/>
      <c r="B106" s="52"/>
      <c r="C106" s="57"/>
      <c r="D106" s="57"/>
      <c r="E106" s="58"/>
      <c r="F106" s="59"/>
      <c r="G106" s="57"/>
      <c r="H106" s="57"/>
      <c r="I106" s="57"/>
      <c r="J106" s="24"/>
      <c r="K106" s="24"/>
      <c r="L106" s="24"/>
      <c r="M106" s="24"/>
      <c r="N106" s="24"/>
      <c r="O106" s="57"/>
      <c r="P106" s="57"/>
      <c r="Q106" s="24"/>
      <c r="R106" s="50"/>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row>
    <row r="107" spans="1:112" x14ac:dyDescent="0.2">
      <c r="A107" s="51"/>
      <c r="B107" s="52"/>
      <c r="C107" s="57"/>
      <c r="D107" s="57"/>
      <c r="E107" s="58"/>
      <c r="F107" s="59"/>
      <c r="G107" s="57"/>
      <c r="H107" s="57"/>
      <c r="I107" s="57"/>
      <c r="J107" s="24"/>
      <c r="K107" s="24"/>
      <c r="L107" s="24"/>
      <c r="M107" s="24"/>
      <c r="N107" s="24"/>
      <c r="O107" s="57"/>
      <c r="P107" s="57"/>
      <c r="Q107" s="24"/>
      <c r="R107" s="50"/>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row>
    <row r="108" spans="1:112" x14ac:dyDescent="0.2">
      <c r="A108" s="51"/>
      <c r="B108" s="52"/>
      <c r="C108" s="57"/>
      <c r="D108" s="57"/>
      <c r="E108" s="58"/>
      <c r="F108" s="59"/>
      <c r="G108" s="57"/>
      <c r="H108" s="57"/>
      <c r="I108" s="57"/>
      <c r="J108" s="24"/>
      <c r="K108" s="24"/>
      <c r="L108" s="24"/>
      <c r="M108" s="24"/>
      <c r="N108" s="24"/>
      <c r="O108" s="57"/>
      <c r="P108" s="57"/>
      <c r="Q108" s="24"/>
      <c r="R108" s="50"/>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row>
    <row r="109" spans="1:112" x14ac:dyDescent="0.2">
      <c r="A109" s="51"/>
      <c r="B109" s="52"/>
      <c r="C109" s="57"/>
      <c r="D109" s="57"/>
      <c r="E109" s="58"/>
      <c r="F109" s="59"/>
      <c r="G109" s="57"/>
      <c r="H109" s="57"/>
      <c r="I109" s="57"/>
      <c r="J109" s="24"/>
      <c r="K109" s="24"/>
      <c r="L109" s="24"/>
      <c r="M109" s="24"/>
      <c r="N109" s="24"/>
      <c r="O109" s="57"/>
      <c r="P109" s="57"/>
      <c r="Q109" s="24"/>
      <c r="R109" s="50"/>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row>
    <row r="110" spans="1:112" x14ac:dyDescent="0.2">
      <c r="A110" s="51"/>
      <c r="B110" s="52"/>
      <c r="C110" s="57"/>
      <c r="D110" s="57"/>
      <c r="E110" s="58"/>
      <c r="F110" s="59"/>
      <c r="G110" s="57"/>
      <c r="H110" s="57"/>
      <c r="I110" s="57"/>
      <c r="J110" s="24"/>
      <c r="K110" s="24"/>
      <c r="L110" s="24"/>
      <c r="M110" s="24"/>
      <c r="N110" s="24"/>
      <c r="O110" s="57"/>
      <c r="P110" s="57"/>
      <c r="Q110" s="24"/>
      <c r="R110" s="50"/>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row>
    <row r="111" spans="1:112" x14ac:dyDescent="0.2">
      <c r="O111" s="12"/>
      <c r="P111" s="12"/>
    </row>
    <row r="112" spans="1:112" x14ac:dyDescent="0.2">
      <c r="O112" s="12"/>
      <c r="P112" s="12"/>
    </row>
    <row r="113" spans="15:16" x14ac:dyDescent="0.2">
      <c r="O113" s="12"/>
      <c r="P113" s="12"/>
    </row>
    <row r="114" spans="15:16" x14ac:dyDescent="0.2">
      <c r="O114" s="12"/>
      <c r="P114" s="12"/>
    </row>
    <row r="115" spans="15:16" x14ac:dyDescent="0.2">
      <c r="O115" s="12"/>
      <c r="P115" s="12"/>
    </row>
    <row r="116" spans="15:16" x14ac:dyDescent="0.2">
      <c r="O116" s="12"/>
      <c r="P116" s="12"/>
    </row>
    <row r="117" spans="15:16" x14ac:dyDescent="0.2">
      <c r="O117" s="12"/>
      <c r="P117" s="12"/>
    </row>
    <row r="118" spans="15:16" x14ac:dyDescent="0.2">
      <c r="O118" s="12"/>
      <c r="P118" s="12"/>
    </row>
    <row r="119" spans="15:16" x14ac:dyDescent="0.2">
      <c r="O119" s="12"/>
      <c r="P119" s="12"/>
    </row>
    <row r="120" spans="15:16" x14ac:dyDescent="0.2">
      <c r="O120" s="12"/>
      <c r="P120" s="12"/>
    </row>
    <row r="121" spans="15:16" x14ac:dyDescent="0.2">
      <c r="O121" s="12"/>
      <c r="P121" s="12"/>
    </row>
    <row r="122" spans="15:16" x14ac:dyDescent="0.2">
      <c r="O122" s="12"/>
      <c r="P122" s="12"/>
    </row>
    <row r="123" spans="15:16" x14ac:dyDescent="0.2">
      <c r="O123" s="12"/>
      <c r="P123" s="12"/>
    </row>
    <row r="124" spans="15:16" x14ac:dyDescent="0.2">
      <c r="O124" s="12"/>
      <c r="P124" s="12"/>
    </row>
    <row r="125" spans="15:16" x14ac:dyDescent="0.2">
      <c r="O125" s="12"/>
      <c r="P125" s="12"/>
    </row>
    <row r="126" spans="15:16" x14ac:dyDescent="0.2">
      <c r="O126" s="12"/>
      <c r="P126" s="12"/>
    </row>
    <row r="127" spans="15:16" x14ac:dyDescent="0.2">
      <c r="O127" s="12"/>
      <c r="P127" s="12"/>
    </row>
    <row r="128" spans="15:16" x14ac:dyDescent="0.2">
      <c r="O128" s="12"/>
      <c r="P128" s="12"/>
    </row>
    <row r="129" spans="15:16" x14ac:dyDescent="0.2">
      <c r="O129" s="12"/>
      <c r="P129" s="12"/>
    </row>
    <row r="130" spans="15:16" x14ac:dyDescent="0.2">
      <c r="O130" s="12"/>
      <c r="P130" s="12"/>
    </row>
    <row r="131" spans="15:16" x14ac:dyDescent="0.2">
      <c r="O131" s="12"/>
      <c r="P131" s="12"/>
    </row>
    <row r="132" spans="15:16" x14ac:dyDescent="0.2">
      <c r="O132" s="12"/>
      <c r="P132" s="12"/>
    </row>
    <row r="133" spans="15:16" x14ac:dyDescent="0.2">
      <c r="O133" s="12"/>
      <c r="P133" s="12"/>
    </row>
    <row r="134" spans="15:16" x14ac:dyDescent="0.2">
      <c r="O134" s="12"/>
      <c r="P134" s="12"/>
    </row>
    <row r="135" spans="15:16" x14ac:dyDescent="0.2">
      <c r="O135" s="12"/>
      <c r="P135" s="12"/>
    </row>
    <row r="136" spans="15:16" x14ac:dyDescent="0.2">
      <c r="O136" s="12"/>
      <c r="P136" s="12"/>
    </row>
    <row r="137" spans="15:16" x14ac:dyDescent="0.2">
      <c r="O137" s="12"/>
      <c r="P137" s="12"/>
    </row>
    <row r="138" spans="15:16" x14ac:dyDescent="0.2">
      <c r="O138" s="12"/>
      <c r="P138" s="12"/>
    </row>
    <row r="139" spans="15:16" x14ac:dyDescent="0.2">
      <c r="O139" s="12"/>
      <c r="P139" s="12"/>
    </row>
    <row r="140" spans="15:16" x14ac:dyDescent="0.2">
      <c r="O140" s="12"/>
      <c r="P140" s="12"/>
    </row>
    <row r="141" spans="15:16" x14ac:dyDescent="0.2">
      <c r="O141" s="12"/>
      <c r="P141" s="12"/>
    </row>
    <row r="142" spans="15:16" x14ac:dyDescent="0.2">
      <c r="O142" s="12"/>
      <c r="P142" s="12"/>
    </row>
    <row r="143" spans="15:16" x14ac:dyDescent="0.2">
      <c r="O143" s="12"/>
      <c r="P143" s="12"/>
    </row>
    <row r="144" spans="15:16" x14ac:dyDescent="0.2">
      <c r="O144" s="12"/>
      <c r="P144" s="12"/>
    </row>
    <row r="145" spans="15:16" x14ac:dyDescent="0.2">
      <c r="O145" s="12"/>
      <c r="P145" s="12"/>
    </row>
    <row r="146" spans="15:16" x14ac:dyDescent="0.2">
      <c r="O146" s="12"/>
      <c r="P146" s="12"/>
    </row>
    <row r="147" spans="15:16" x14ac:dyDescent="0.2">
      <c r="O147" s="12"/>
      <c r="P147" s="12"/>
    </row>
    <row r="148" spans="15:16" x14ac:dyDescent="0.2">
      <c r="O148" s="12"/>
      <c r="P148" s="12"/>
    </row>
    <row r="149" spans="15:16" x14ac:dyDescent="0.2">
      <c r="O149" s="12"/>
      <c r="P149" s="12"/>
    </row>
    <row r="150" spans="15:16" x14ac:dyDescent="0.2">
      <c r="O150" s="12"/>
      <c r="P150" s="12"/>
    </row>
    <row r="151" spans="15:16" x14ac:dyDescent="0.2">
      <c r="O151" s="12"/>
      <c r="P151" s="12"/>
    </row>
    <row r="152" spans="15:16" x14ac:dyDescent="0.2">
      <c r="O152" s="12"/>
      <c r="P152" s="12"/>
    </row>
    <row r="153" spans="15:16" x14ac:dyDescent="0.2">
      <c r="O153" s="12"/>
      <c r="P153" s="12"/>
    </row>
    <row r="154" spans="15:16" x14ac:dyDescent="0.2">
      <c r="O154" s="12"/>
      <c r="P154" s="12"/>
    </row>
    <row r="155" spans="15:16" x14ac:dyDescent="0.2">
      <c r="O155" s="12"/>
      <c r="P155" s="12"/>
    </row>
    <row r="156" spans="15:16" x14ac:dyDescent="0.2">
      <c r="O156" s="12"/>
      <c r="P156" s="12"/>
    </row>
    <row r="157" spans="15:16" x14ac:dyDescent="0.2">
      <c r="O157" s="12"/>
      <c r="P157" s="12"/>
    </row>
    <row r="158" spans="15:16" x14ac:dyDescent="0.2">
      <c r="O158" s="12"/>
      <c r="P158" s="12"/>
    </row>
    <row r="159" spans="15:16" x14ac:dyDescent="0.2">
      <c r="O159" s="12"/>
      <c r="P159" s="12"/>
    </row>
    <row r="160" spans="15:16" x14ac:dyDescent="0.2">
      <c r="O160" s="12"/>
      <c r="P160" s="12"/>
    </row>
    <row r="161" spans="15:16" x14ac:dyDescent="0.2">
      <c r="O161" s="12"/>
      <c r="P161" s="12"/>
    </row>
    <row r="162" spans="15:16" x14ac:dyDescent="0.2">
      <c r="O162" s="12"/>
      <c r="P162" s="12"/>
    </row>
    <row r="163" spans="15:16" x14ac:dyDescent="0.2">
      <c r="O163" s="12"/>
      <c r="P163" s="12"/>
    </row>
    <row r="164" spans="15:16" x14ac:dyDescent="0.2">
      <c r="O164" s="12"/>
      <c r="P164" s="12"/>
    </row>
    <row r="165" spans="15:16" x14ac:dyDescent="0.2">
      <c r="O165" s="12"/>
      <c r="P165" s="12"/>
    </row>
    <row r="166" spans="15:16" x14ac:dyDescent="0.2">
      <c r="O166" s="12"/>
      <c r="P166" s="12"/>
    </row>
  </sheetData>
  <mergeCells count="16">
    <mergeCell ref="CG52:CG53"/>
    <mergeCell ref="CN52:CN53"/>
    <mergeCell ref="CU52:CU53"/>
    <mergeCell ref="DB52:DB53"/>
    <mergeCell ref="AQ52:AQ53"/>
    <mergeCell ref="AX52:AX53"/>
    <mergeCell ref="BE52:BE53"/>
    <mergeCell ref="BL52:BL53"/>
    <mergeCell ref="BS52:BS53"/>
    <mergeCell ref="BZ52:BZ53"/>
    <mergeCell ref="AJ52:AJ53"/>
    <mergeCell ref="A52:A53"/>
    <mergeCell ref="H52:H53"/>
    <mergeCell ref="O52:O53"/>
    <mergeCell ref="V52:V53"/>
    <mergeCell ref="AC52:AC53"/>
  </mergeCells>
  <phoneticPr fontId="25" type="noConversion"/>
  <printOptions gridLines="1" gridLinesSet="0"/>
  <pageMargins left="0.78740157480314965" right="0.59055118110236227" top="0.39370078740157483" bottom="0.39370078740157483" header="0.51181102362204722" footer="0.51181102362204722"/>
  <pageSetup paperSize="9" scale="70" orientation="portrait" copies="2" r:id="rId1"/>
  <headerFooter alignWithMargins="0">
    <oddFooter>&amp;L&amp;6&amp;F&amp;C&amp;6&amp;A  &amp;R&amp;6Kontakt: matthias.zuercher@faw.admin.ch</oddFooter>
  </headerFooter>
  <colBreaks count="4" manualBreakCount="4">
    <brk id="7" max="1048575" man="1"/>
    <brk id="14" max="1048575" man="1"/>
    <brk id="21" max="1048575" man="1"/>
    <brk id="42" max="1048575" man="1"/>
  </colBreaks>
  <cellWatches>
    <cellWatch r="T77"/>
  </cellWatches>
  <ignoredErrors>
    <ignoredError sqref="T46 AA46" 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Eingabeseite</vt:lpstr>
      <vt:lpstr>Var Vorgaben</vt:lpstr>
      <vt:lpstr>Var Erstellung</vt:lpstr>
      <vt:lpstr>Var 1.-16. Standjahr</vt:lpstr>
      <vt:lpstr>Var Ertragsphase</vt:lpstr>
      <vt:lpstr>Var Cashflow</vt:lpstr>
      <vt:lpstr>Standard Vorgaben</vt:lpstr>
      <vt:lpstr>Standard Erstellung</vt:lpstr>
      <vt:lpstr>Standard 1.-16. Standjahr</vt:lpstr>
      <vt:lpstr>Standard Ertragsphase</vt:lpstr>
      <vt:lpstr>Standard Cashflow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Arbokost für Apfel</dc:title>
  <dc:subject>Entwicklung</dc:subject>
  <dc:creator>Obstbau</dc:creator>
  <cp:lastModifiedBy>Prevost Martina</cp:lastModifiedBy>
  <cp:lastPrinted>2010-06-21T12:56:08Z</cp:lastPrinted>
  <dcterms:created xsi:type="dcterms:W3CDTF">1999-04-12T09:35:11Z</dcterms:created>
  <dcterms:modified xsi:type="dcterms:W3CDTF">2025-01-14T11:00:09Z</dcterms:modified>
</cp:coreProperties>
</file>