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drawings/drawing11.xml" ContentType="application/vnd.openxmlformats-officedocument.drawing+xml"/>
  <Override PartName="/xl/comments9.xml" ContentType="application/vnd.openxmlformats-officedocument.spreadsheetml.comments+xml"/>
  <Override PartName="/xl/drawings/drawing12.xml" ContentType="application/vnd.openxmlformats-officedocument.drawing+xml"/>
  <Override PartName="/xl/comments10.xml" ContentType="application/vnd.openxmlformats-officedocument.spreadsheetml.comments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updateLinks="never" codeName="DieseArbeitsmappe"/>
  <mc:AlternateContent xmlns:mc="http://schemas.openxmlformats.org/markup-compatibility/2006">
    <mc:Choice Requires="x15">
      <x15ac:absPath xmlns:x15ac="http://schemas.microsoft.com/office/spreadsheetml/2010/11/ac" url="O:\Data-Work\22_Plant_Production-CH\226.14_Ökonomie\01_Projekte\011_CH_Projekte\Arbokost\Endversionen_Internet\Arbokost_Internet_2023\Versionen_2023_ff\Deutsch\"/>
    </mc:Choice>
  </mc:AlternateContent>
  <xr:revisionPtr revIDLastSave="0" documentId="13_ncr:1_{5DC30E8F-7AD7-4794-95B6-6B716BD4F4E0}" xr6:coauthVersionLast="47" xr6:coauthVersionMax="47" xr10:uidLastSave="{00000000-0000-0000-0000-000000000000}"/>
  <bookViews>
    <workbookView xWindow="-120" yWindow="-120" windowWidth="29040" windowHeight="17640" tabRatio="918" activeTab="5" xr2:uid="{00000000-000D-0000-FFFF-FFFF00000000}"/>
  </bookViews>
  <sheets>
    <sheet name="Eingabeseite" sheetId="22715" r:id="rId1"/>
    <sheet name="Variante Vorgaben" sheetId="22738" r:id="rId2"/>
    <sheet name="Variante Bewässerung" sheetId="22743" r:id="rId3"/>
    <sheet name="Variante Erstellung" sheetId="22739" r:id="rId4"/>
    <sheet name="Variante 1.-20. Standjahr" sheetId="22740" r:id="rId5"/>
    <sheet name="Variante Ertragsphase" sheetId="22741" r:id="rId6"/>
    <sheet name="Variante Cashflow" sheetId="22742" r:id="rId7"/>
    <sheet name="Standard Vorgaben" sheetId="1" r:id="rId8"/>
    <sheet name="Standard Bewässerung" sheetId="22744" r:id="rId9"/>
    <sheet name="Standard Erstellung" sheetId="2" r:id="rId10"/>
    <sheet name="Standard 1.-20. Standjahr" sheetId="3" r:id="rId11"/>
    <sheet name="Standard Ertragsphase" sheetId="4" r:id="rId12"/>
    <sheet name="Standard Cashflow" sheetId="22714" r:id="rId13"/>
  </sheets>
  <externalReferences>
    <externalReference r:id="rId14"/>
  </externalReferences>
  <definedNames>
    <definedName name="Andere">[1]Berechnungen!$G$6:$G$30</definedName>
    <definedName name="Andere_Auswahl" localSheetId="8">OFFSET(Andere,0,0,COUNTIF(Andere,"&gt; "),1)</definedName>
    <definedName name="Andere_Auswahl">OFFSET(Andere,0,0,COUNTIF(Andere,"&gt; "),1)</definedName>
    <definedName name="Anzahl_Behandlungen">[1]Berechnungen!$B$34:$B$64</definedName>
    <definedName name="Anzahl_Behandlungen2">[1]Berechnungen!$C$34:$C$46</definedName>
    <definedName name="Bakterizid2">[1]Berechnungen!$C$6:$C$30</definedName>
    <definedName name="Bakterizid2_Auswahl" localSheetId="8">OFFSET(Bakterizid2,0,0,COUNTIF(Bakterizid2,"&gt; "),1)</definedName>
    <definedName name="Bakterizid2_Auswahl">OFFSET(Bakterizid2,0,0,COUNTIF(Bakterizid2,"&gt; "),1)</definedName>
    <definedName name="_xlnm.Print_Area" localSheetId="12">'Standard Cashflow'!$A$4:$J$56</definedName>
    <definedName name="_xlnm.Print_Area" localSheetId="11">'Standard Ertragsphase'!$A$1:$G$159</definedName>
    <definedName name="_xlnm.Print_Area" localSheetId="6">'Variante Cashflow'!$A$2:$J$56</definedName>
    <definedName name="_xlnm.Print_Area" localSheetId="5">'Variante Ertragsphase'!$A$1:$G$160</definedName>
    <definedName name="Fungizid">[1]Berechnungen!$D$6:$D$30</definedName>
    <definedName name="Fungizid_Auswahl" localSheetId="8">OFFSET(Fungizid,0,0,COUNTIF(Fungizid,"&gt; "),1)</definedName>
    <definedName name="Fungizid_Auswahl">OFFSET(Fungizid,0,0,COUNTIF(Fungizid,"&gt; "),1)</definedName>
    <definedName name="Herbizid">[1]Berechnungen!$E$6:$E$30</definedName>
    <definedName name="Herbizid_Auswahl" localSheetId="8">OFFSET(Herbizid,0,0,COUNTIF(Herbizid,"&gt; "),1)</definedName>
    <definedName name="Herbizid_Auswahl">OFFSET(Herbizid,0,0,COUNTIF(Herbizid,"&gt; "),1)</definedName>
    <definedName name="Insektizid">[1]Berechnungen!$F$6:$F$30</definedName>
    <definedName name="Insektizid_Auswahl" localSheetId="8">OFFSET(Insektizid,0,0,COUNTIF(Insektizid,"&gt; "),1)</definedName>
    <definedName name="Insektizid_Auswahl">OFFSET(Insektizid,0,0,COUNTIF(Insektizid,"&gt; "),1)</definedName>
    <definedName name="Regulatoren">[1]Berechnungen!$B$6:$B$30</definedName>
    <definedName name="Regulatoren_Auswahl" localSheetId="8">OFFSET(Regulatoren,0,0,COUNTIF(Regulatoren,"&gt; "),1)</definedName>
    <definedName name="Regulatoren_Auswahl">OFFSET(Regulatoren,0,0,COUNTIF(Regulatoren,"&gt; "),1)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5" i="22741" l="1"/>
  <c r="F74" i="4"/>
  <c r="F80" i="22744" l="1"/>
  <c r="F79" i="22744"/>
  <c r="F78" i="22744"/>
  <c r="F77" i="22744"/>
  <c r="F76" i="22744"/>
  <c r="F75" i="22744"/>
  <c r="F72" i="22744"/>
  <c r="F71" i="22744"/>
  <c r="F67" i="22744"/>
  <c r="F66" i="22744"/>
  <c r="F65" i="22744"/>
  <c r="F64" i="22744"/>
  <c r="F63" i="22744"/>
  <c r="F78" i="22743"/>
  <c r="F77" i="22743"/>
  <c r="F76" i="22743"/>
  <c r="F75" i="22743"/>
  <c r="F74" i="22743"/>
  <c r="F73" i="22743"/>
  <c r="F70" i="22743"/>
  <c r="F69" i="22743"/>
  <c r="F65" i="22743"/>
  <c r="F64" i="22743"/>
  <c r="F63" i="22743"/>
  <c r="F62" i="22743"/>
  <c r="F61" i="22743"/>
  <c r="F26" i="22743"/>
  <c r="F13" i="22744"/>
  <c r="F11" i="22744"/>
  <c r="F31" i="22744"/>
  <c r="F28" i="22744"/>
  <c r="F27" i="22744"/>
  <c r="F26" i="22744"/>
  <c r="F25" i="22744"/>
  <c r="F24" i="22744"/>
  <c r="F23" i="22744"/>
  <c r="F20" i="22744"/>
  <c r="F19" i="22744"/>
  <c r="F15" i="22744"/>
  <c r="F14" i="22744"/>
  <c r="D52" i="2"/>
  <c r="D58" i="2"/>
  <c r="D57" i="2"/>
  <c r="D56" i="2"/>
  <c r="D55" i="2"/>
  <c r="D54" i="2"/>
  <c r="D53" i="2"/>
  <c r="D10" i="2"/>
  <c r="D16" i="2"/>
  <c r="D15" i="2"/>
  <c r="D14" i="2"/>
  <c r="D13" i="2"/>
  <c r="D12" i="2"/>
  <c r="D11" i="2"/>
  <c r="D55" i="22739"/>
  <c r="D14" i="22739"/>
  <c r="D10" i="22739"/>
  <c r="C6" i="22739"/>
  <c r="D58" i="22739" s="1"/>
  <c r="A6" i="22739"/>
  <c r="F30" i="22743"/>
  <c r="F25" i="22743"/>
  <c r="F24" i="22743"/>
  <c r="F23" i="22743"/>
  <c r="F22" i="22743"/>
  <c r="F21" i="22743"/>
  <c r="F18" i="22743"/>
  <c r="F17" i="22743"/>
  <c r="F13" i="22743"/>
  <c r="F12" i="22743"/>
  <c r="F11" i="22743"/>
  <c r="F9" i="22743"/>
  <c r="BB39" i="3"/>
  <c r="BB40" i="3"/>
  <c r="BB41" i="3"/>
  <c r="H142" i="22738"/>
  <c r="H143" i="22738"/>
  <c r="H144" i="22738"/>
  <c r="H145" i="22738"/>
  <c r="H146" i="22738"/>
  <c r="H147" i="22738"/>
  <c r="D11" i="22739" l="1"/>
  <c r="D15" i="22739"/>
  <c r="D52" i="22739"/>
  <c r="D56" i="22739"/>
  <c r="D12" i="22739"/>
  <c r="D16" i="22739"/>
  <c r="D53" i="22739"/>
  <c r="D57" i="22739"/>
  <c r="D13" i="22739"/>
  <c r="D54" i="22739"/>
  <c r="D54" i="4"/>
  <c r="EF40" i="3"/>
  <c r="EF39" i="3"/>
  <c r="DY40" i="3"/>
  <c r="DY39" i="3"/>
  <c r="DR40" i="3"/>
  <c r="DR39" i="3"/>
  <c r="DK40" i="3"/>
  <c r="DK39" i="3"/>
  <c r="DD40" i="3"/>
  <c r="DD39" i="3"/>
  <c r="CW40" i="3"/>
  <c r="CW39" i="3"/>
  <c r="CP40" i="3"/>
  <c r="CP39" i="3"/>
  <c r="CI40" i="3"/>
  <c r="CI39" i="3"/>
  <c r="CB40" i="3"/>
  <c r="CB39" i="3"/>
  <c r="BU40" i="3"/>
  <c r="BU39" i="3"/>
  <c r="BN40" i="3"/>
  <c r="BN39" i="3"/>
  <c r="BG40" i="3"/>
  <c r="BG39" i="3"/>
  <c r="AZ40" i="3"/>
  <c r="BC40" i="3" s="1"/>
  <c r="AZ39" i="3"/>
  <c r="BC39" i="3" s="1"/>
  <c r="AS40" i="3"/>
  <c r="AS39" i="3"/>
  <c r="AL40" i="3"/>
  <c r="AL39" i="3"/>
  <c r="AE40" i="3"/>
  <c r="AE39" i="3"/>
  <c r="EF40" i="22740" l="1"/>
  <c r="EF39" i="22740"/>
  <c r="DY40" i="22740"/>
  <c r="DY39" i="22740"/>
  <c r="DR40" i="22740"/>
  <c r="DR39" i="22740"/>
  <c r="DK40" i="22740"/>
  <c r="DK39" i="22740"/>
  <c r="DD40" i="22740"/>
  <c r="DD39" i="22740"/>
  <c r="CW40" i="22740"/>
  <c r="CW39" i="22740"/>
  <c r="CP40" i="22740"/>
  <c r="CP39" i="22740"/>
  <c r="CI40" i="22740"/>
  <c r="CI39" i="22740"/>
  <c r="CB40" i="22740"/>
  <c r="CB39" i="22740"/>
  <c r="BU40" i="22740"/>
  <c r="BU39" i="22740"/>
  <c r="BN40" i="22740"/>
  <c r="BN39" i="22740"/>
  <c r="BG40" i="22740"/>
  <c r="BG39" i="22740"/>
  <c r="AZ40" i="22740"/>
  <c r="AZ39" i="22740"/>
  <c r="AS40" i="22740"/>
  <c r="AS39" i="22740"/>
  <c r="AL40" i="22740"/>
  <c r="AL39" i="22740"/>
  <c r="AE40" i="22740"/>
  <c r="AE39" i="22740"/>
  <c r="F23" i="4" l="1"/>
  <c r="A23" i="4"/>
  <c r="F22" i="4"/>
  <c r="A22" i="4"/>
  <c r="F21" i="4"/>
  <c r="A21" i="4"/>
  <c r="F20" i="4"/>
  <c r="A20" i="4"/>
  <c r="F19" i="4"/>
  <c r="F24" i="4" s="1"/>
  <c r="A19" i="4"/>
  <c r="M21" i="3"/>
  <c r="EI25" i="3"/>
  <c r="ED25" i="3"/>
  <c r="EI24" i="3"/>
  <c r="ED24" i="3"/>
  <c r="EI23" i="3"/>
  <c r="ED23" i="3"/>
  <c r="EI22" i="3"/>
  <c r="ED22" i="3"/>
  <c r="EI21" i="3"/>
  <c r="ED21" i="3"/>
  <c r="EB25" i="3"/>
  <c r="DW25" i="3"/>
  <c r="EB24" i="3"/>
  <c r="DW24" i="3"/>
  <c r="EB23" i="3"/>
  <c r="DW23" i="3"/>
  <c r="EB22" i="3"/>
  <c r="DW22" i="3"/>
  <c r="EB21" i="3"/>
  <c r="EB26" i="3" s="1"/>
  <c r="DW21" i="3"/>
  <c r="DU25" i="3"/>
  <c r="DP25" i="3"/>
  <c r="DU24" i="3"/>
  <c r="DP24" i="3"/>
  <c r="DU23" i="3"/>
  <c r="DP23" i="3"/>
  <c r="DU22" i="3"/>
  <c r="DP22" i="3"/>
  <c r="DU21" i="3"/>
  <c r="DP21" i="3"/>
  <c r="DN25" i="3"/>
  <c r="DI25" i="3"/>
  <c r="DN24" i="3"/>
  <c r="DI24" i="3"/>
  <c r="DN23" i="3"/>
  <c r="DI23" i="3"/>
  <c r="DN22" i="3"/>
  <c r="DI22" i="3"/>
  <c r="DN21" i="3"/>
  <c r="DN26" i="3" s="1"/>
  <c r="DI21" i="3"/>
  <c r="DG25" i="3"/>
  <c r="DB25" i="3"/>
  <c r="DG24" i="3"/>
  <c r="DB24" i="3"/>
  <c r="DG23" i="3"/>
  <c r="DB23" i="3"/>
  <c r="DG22" i="3"/>
  <c r="DB22" i="3"/>
  <c r="DG21" i="3"/>
  <c r="DB21" i="3"/>
  <c r="CZ25" i="3"/>
  <c r="CU25" i="3"/>
  <c r="CZ24" i="3"/>
  <c r="CU24" i="3"/>
  <c r="CZ23" i="3"/>
  <c r="CU23" i="3"/>
  <c r="CZ22" i="3"/>
  <c r="CU22" i="3"/>
  <c r="CZ21" i="3"/>
  <c r="CZ26" i="3" s="1"/>
  <c r="CU21" i="3"/>
  <c r="CS25" i="3"/>
  <c r="CN25" i="3"/>
  <c r="CS24" i="3"/>
  <c r="CN24" i="3"/>
  <c r="CS23" i="3"/>
  <c r="CN23" i="3"/>
  <c r="CS22" i="3"/>
  <c r="CN22" i="3"/>
  <c r="CS21" i="3"/>
  <c r="CN21" i="3"/>
  <c r="CL25" i="3"/>
  <c r="CG25" i="3"/>
  <c r="CL24" i="3"/>
  <c r="CG24" i="3"/>
  <c r="CL23" i="3"/>
  <c r="CG23" i="3"/>
  <c r="CL22" i="3"/>
  <c r="CG22" i="3"/>
  <c r="CL21" i="3"/>
  <c r="CL26" i="3" s="1"/>
  <c r="CG21" i="3"/>
  <c r="CE25" i="3"/>
  <c r="BZ25" i="3"/>
  <c r="CE24" i="3"/>
  <c r="BZ24" i="3"/>
  <c r="CE23" i="3"/>
  <c r="BZ23" i="3"/>
  <c r="CE22" i="3"/>
  <c r="BZ22" i="3"/>
  <c r="CE21" i="3"/>
  <c r="BZ21" i="3"/>
  <c r="BX25" i="3"/>
  <c r="BS25" i="3"/>
  <c r="BX24" i="3"/>
  <c r="BS24" i="3"/>
  <c r="BX23" i="3"/>
  <c r="BS23" i="3"/>
  <c r="BX22" i="3"/>
  <c r="BS22" i="3"/>
  <c r="BX21" i="3"/>
  <c r="BX26" i="3" s="1"/>
  <c r="BS21" i="3"/>
  <c r="BQ25" i="3"/>
  <c r="BL25" i="3"/>
  <c r="BQ24" i="3"/>
  <c r="BL24" i="3"/>
  <c r="BQ23" i="3"/>
  <c r="BL23" i="3"/>
  <c r="BQ22" i="3"/>
  <c r="BL22" i="3"/>
  <c r="BQ21" i="3"/>
  <c r="BL21" i="3"/>
  <c r="BJ25" i="3"/>
  <c r="BE25" i="3"/>
  <c r="BJ24" i="3"/>
  <c r="BE24" i="3"/>
  <c r="BJ23" i="3"/>
  <c r="BE23" i="3"/>
  <c r="BJ22" i="3"/>
  <c r="BE22" i="3"/>
  <c r="BJ21" i="3"/>
  <c r="BJ26" i="3" s="1"/>
  <c r="BE21" i="3"/>
  <c r="BC25" i="3"/>
  <c r="AX25" i="3"/>
  <c r="BC24" i="3"/>
  <c r="AX24" i="3"/>
  <c r="BC23" i="3"/>
  <c r="AX23" i="3"/>
  <c r="BC22" i="3"/>
  <c r="AX22" i="3"/>
  <c r="BC21" i="3"/>
  <c r="AX21" i="3"/>
  <c r="AV25" i="3"/>
  <c r="AQ25" i="3"/>
  <c r="AV24" i="3"/>
  <c r="AQ24" i="3"/>
  <c r="AV23" i="3"/>
  <c r="AQ23" i="3"/>
  <c r="AV22" i="3"/>
  <c r="AQ22" i="3"/>
  <c r="AV21" i="3"/>
  <c r="AV26" i="3" s="1"/>
  <c r="AQ21" i="3"/>
  <c r="AO25" i="3"/>
  <c r="AJ25" i="3"/>
  <c r="AO24" i="3"/>
  <c r="AJ24" i="3"/>
  <c r="AO23" i="3"/>
  <c r="AJ23" i="3"/>
  <c r="AO22" i="3"/>
  <c r="AJ22" i="3"/>
  <c r="AO21" i="3"/>
  <c r="AJ21" i="3"/>
  <c r="AH25" i="3"/>
  <c r="AH24" i="3"/>
  <c r="AH23" i="3"/>
  <c r="AH22" i="3"/>
  <c r="AH26" i="3" s="1"/>
  <c r="AH21" i="3"/>
  <c r="AC25" i="3"/>
  <c r="AC24" i="3"/>
  <c r="AC23" i="3"/>
  <c r="AC22" i="3"/>
  <c r="AC21" i="3"/>
  <c r="AA22" i="3"/>
  <c r="AA23" i="3"/>
  <c r="AA24" i="3"/>
  <c r="AA25" i="3"/>
  <c r="AA21" i="3"/>
  <c r="V25" i="3"/>
  <c r="V24" i="3"/>
  <c r="V23" i="3"/>
  <c r="V22" i="3"/>
  <c r="AA26" i="3"/>
  <c r="V21" i="3"/>
  <c r="T25" i="3"/>
  <c r="T24" i="3"/>
  <c r="T23" i="3"/>
  <c r="T22" i="3"/>
  <c r="T21" i="3"/>
  <c r="T26" i="3" s="1"/>
  <c r="O25" i="3"/>
  <c r="O24" i="3"/>
  <c r="O23" i="3"/>
  <c r="O22" i="3"/>
  <c r="O21" i="3"/>
  <c r="M25" i="3"/>
  <c r="M24" i="3"/>
  <c r="M23" i="3"/>
  <c r="M22" i="3"/>
  <c r="H25" i="3"/>
  <c r="H24" i="3"/>
  <c r="H23" i="3"/>
  <c r="H22" i="3"/>
  <c r="H21" i="3"/>
  <c r="A25" i="3"/>
  <c r="A24" i="3"/>
  <c r="A23" i="3"/>
  <c r="A22" i="3"/>
  <c r="A21" i="3"/>
  <c r="F22" i="3"/>
  <c r="F23" i="3"/>
  <c r="F24" i="3"/>
  <c r="F25" i="3"/>
  <c r="F21" i="3"/>
  <c r="F26" i="3" s="1"/>
  <c r="A24" i="22741"/>
  <c r="A23" i="22741"/>
  <c r="A22" i="22741"/>
  <c r="A21" i="22741"/>
  <c r="A20" i="22741"/>
  <c r="B132" i="4" l="1"/>
  <c r="B26" i="22715"/>
  <c r="M26" i="3"/>
  <c r="AO26" i="3"/>
  <c r="BC26" i="3"/>
  <c r="BQ26" i="3"/>
  <c r="CE26" i="3"/>
  <c r="CS26" i="3"/>
  <c r="DG26" i="3"/>
  <c r="DU26" i="3"/>
  <c r="EI26" i="3"/>
  <c r="ED25" i="22740"/>
  <c r="ED24" i="22740"/>
  <c r="ED23" i="22740"/>
  <c r="ED22" i="22740"/>
  <c r="ED21" i="22740"/>
  <c r="DW25" i="22740"/>
  <c r="DW24" i="22740"/>
  <c r="DW23" i="22740"/>
  <c r="DW22" i="22740"/>
  <c r="DW21" i="22740"/>
  <c r="DP25" i="22740"/>
  <c r="DP24" i="22740"/>
  <c r="DP23" i="22740"/>
  <c r="DP22" i="22740"/>
  <c r="DP21" i="22740"/>
  <c r="DI25" i="22740"/>
  <c r="DI24" i="22740"/>
  <c r="DI23" i="22740"/>
  <c r="DI22" i="22740"/>
  <c r="DI21" i="22740"/>
  <c r="DB25" i="22740"/>
  <c r="DB24" i="22740"/>
  <c r="DB23" i="22740"/>
  <c r="DB22" i="22740"/>
  <c r="DB21" i="22740"/>
  <c r="CU25" i="22740"/>
  <c r="CU24" i="22740"/>
  <c r="CU23" i="22740"/>
  <c r="CU22" i="22740"/>
  <c r="CU21" i="22740"/>
  <c r="CN25" i="22740"/>
  <c r="CN24" i="22740"/>
  <c r="CN23" i="22740"/>
  <c r="CN22" i="22740"/>
  <c r="CN21" i="22740"/>
  <c r="CG25" i="22740"/>
  <c r="CG24" i="22740"/>
  <c r="CG23" i="22740"/>
  <c r="CG22" i="22740"/>
  <c r="CG21" i="22740"/>
  <c r="BZ25" i="22740"/>
  <c r="BZ24" i="22740"/>
  <c r="BZ23" i="22740"/>
  <c r="BZ22" i="22740"/>
  <c r="BZ21" i="22740"/>
  <c r="BS25" i="22740"/>
  <c r="BS24" i="22740"/>
  <c r="BS23" i="22740"/>
  <c r="BS22" i="22740"/>
  <c r="BS21" i="22740"/>
  <c r="BL25" i="22740"/>
  <c r="BL24" i="22740"/>
  <c r="BL23" i="22740"/>
  <c r="BL22" i="22740"/>
  <c r="BL21" i="22740"/>
  <c r="BE25" i="22740"/>
  <c r="BE24" i="22740"/>
  <c r="BE23" i="22740"/>
  <c r="BE22" i="22740"/>
  <c r="BE21" i="22740"/>
  <c r="AX25" i="22740"/>
  <c r="AX24" i="22740"/>
  <c r="AX23" i="22740"/>
  <c r="AX22" i="22740"/>
  <c r="AX21" i="22740"/>
  <c r="AQ25" i="22740"/>
  <c r="AQ24" i="22740"/>
  <c r="AQ23" i="22740"/>
  <c r="AQ22" i="22740"/>
  <c r="AQ21" i="22740"/>
  <c r="AJ25" i="22740"/>
  <c r="AJ24" i="22740"/>
  <c r="AJ23" i="22740"/>
  <c r="AJ22" i="22740"/>
  <c r="AJ21" i="22740"/>
  <c r="AC25" i="22740"/>
  <c r="AC24" i="22740"/>
  <c r="AC23" i="22740"/>
  <c r="AC22" i="22740"/>
  <c r="AC21" i="22740"/>
  <c r="V25" i="22740"/>
  <c r="V24" i="22740"/>
  <c r="V23" i="22740"/>
  <c r="V22" i="22740"/>
  <c r="V21" i="22740"/>
  <c r="O25" i="22740"/>
  <c r="O24" i="22740"/>
  <c r="O23" i="22740"/>
  <c r="O22" i="22740"/>
  <c r="O21" i="22740"/>
  <c r="H25" i="22740"/>
  <c r="H24" i="22740"/>
  <c r="H23" i="22740"/>
  <c r="H22" i="22740"/>
  <c r="H21" i="22740"/>
  <c r="A25" i="22740"/>
  <c r="A24" i="22740"/>
  <c r="A23" i="22740"/>
  <c r="A22" i="22740"/>
  <c r="A21" i="22740"/>
  <c r="D110" i="2" l="1"/>
  <c r="C168" i="1"/>
  <c r="B168" i="1"/>
  <c r="D112" i="2"/>
  <c r="D146" i="1"/>
  <c r="D130" i="2" s="1"/>
  <c r="EH48" i="3"/>
  <c r="EE48" i="3"/>
  <c r="EA48" i="3"/>
  <c r="DX48" i="3"/>
  <c r="DT48" i="3"/>
  <c r="DQ48" i="3"/>
  <c r="DM48" i="3"/>
  <c r="DJ48" i="3"/>
  <c r="DF48" i="3"/>
  <c r="DC48" i="3"/>
  <c r="CY48" i="3"/>
  <c r="CV48" i="3"/>
  <c r="CR48" i="3"/>
  <c r="CO48" i="3"/>
  <c r="CK48" i="3"/>
  <c r="CH48" i="3"/>
  <c r="CD48" i="3"/>
  <c r="CA48" i="3"/>
  <c r="BW48" i="3"/>
  <c r="BT48" i="3"/>
  <c r="BP48" i="3"/>
  <c r="BM48" i="3"/>
  <c r="BI48" i="3"/>
  <c r="BF48" i="3"/>
  <c r="BB48" i="3"/>
  <c r="AY48" i="3"/>
  <c r="AU48" i="3"/>
  <c r="AR48" i="3"/>
  <c r="AN48" i="3"/>
  <c r="AK48" i="3"/>
  <c r="AG48" i="3"/>
  <c r="AD48" i="3"/>
  <c r="Z48" i="3"/>
  <c r="W48" i="3"/>
  <c r="S48" i="3"/>
  <c r="P48" i="3"/>
  <c r="L48" i="3"/>
  <c r="I48" i="3"/>
  <c r="E48" i="3"/>
  <c r="B48" i="3"/>
  <c r="E46" i="4"/>
  <c r="B46" i="4"/>
  <c r="F48" i="22741"/>
  <c r="E47" i="22741"/>
  <c r="B47" i="22741"/>
  <c r="EH48" i="22740"/>
  <c r="EE48" i="22740"/>
  <c r="EA48" i="22740"/>
  <c r="DX48" i="22740"/>
  <c r="DT48" i="22740"/>
  <c r="DQ48" i="22740"/>
  <c r="DM48" i="22740"/>
  <c r="DJ48" i="22740"/>
  <c r="DF48" i="22740"/>
  <c r="DC48" i="22740"/>
  <c r="CY48" i="22740"/>
  <c r="CV48" i="22740"/>
  <c r="CR48" i="22740"/>
  <c r="CO48" i="22740"/>
  <c r="CK48" i="22740"/>
  <c r="CH48" i="22740"/>
  <c r="CD48" i="22740"/>
  <c r="CA48" i="22740"/>
  <c r="BW48" i="22740"/>
  <c r="BT48" i="22740"/>
  <c r="BP48" i="22740"/>
  <c r="BM48" i="22740"/>
  <c r="BI48" i="22740"/>
  <c r="BF48" i="22740"/>
  <c r="BB48" i="22740"/>
  <c r="AY48" i="22740"/>
  <c r="AU48" i="22740"/>
  <c r="AR48" i="22740"/>
  <c r="AN48" i="22740"/>
  <c r="AK48" i="22740"/>
  <c r="AG48" i="22740"/>
  <c r="AD48" i="22740"/>
  <c r="Z48" i="22740"/>
  <c r="W48" i="22740"/>
  <c r="S48" i="22740"/>
  <c r="P48" i="22740"/>
  <c r="L48" i="22740"/>
  <c r="I48" i="22740"/>
  <c r="E48" i="22740"/>
  <c r="B48" i="22740"/>
  <c r="E33" i="22739"/>
  <c r="D168" i="1"/>
  <c r="D160" i="22738"/>
  <c r="D138" i="22738" l="1"/>
  <c r="D130" i="22739" s="1"/>
  <c r="D17" i="4" l="1"/>
  <c r="C17" i="4"/>
  <c r="B17" i="4"/>
  <c r="EG18" i="3"/>
  <c r="EF18" i="3"/>
  <c r="EE18" i="3"/>
  <c r="DZ18" i="3"/>
  <c r="DY18" i="3"/>
  <c r="DX18" i="3"/>
  <c r="DS18" i="3"/>
  <c r="DR18" i="3"/>
  <c r="DQ18" i="3"/>
  <c r="DL18" i="3"/>
  <c r="DK18" i="3"/>
  <c r="DJ18" i="3"/>
  <c r="DE18" i="3"/>
  <c r="DD18" i="3"/>
  <c r="DC18" i="3"/>
  <c r="CX18" i="3"/>
  <c r="CW18" i="3"/>
  <c r="CV18" i="3"/>
  <c r="CQ18" i="3"/>
  <c r="CP18" i="3"/>
  <c r="CO18" i="3"/>
  <c r="CJ18" i="3"/>
  <c r="CI18" i="3"/>
  <c r="CH18" i="3"/>
  <c r="CC18" i="3"/>
  <c r="CB18" i="3"/>
  <c r="CA18" i="3"/>
  <c r="BV18" i="3"/>
  <c r="BU18" i="3"/>
  <c r="BT18" i="3"/>
  <c r="BO18" i="3"/>
  <c r="BN18" i="3"/>
  <c r="BM18" i="3"/>
  <c r="BH18" i="3"/>
  <c r="BG18" i="3"/>
  <c r="BF18" i="3"/>
  <c r="BA18" i="3"/>
  <c r="AZ18" i="3"/>
  <c r="AY18" i="3"/>
  <c r="AT18" i="3"/>
  <c r="AS18" i="3"/>
  <c r="AR18" i="3"/>
  <c r="AL18" i="3"/>
  <c r="AM18" i="3"/>
  <c r="AF18" i="3"/>
  <c r="AE18" i="3"/>
  <c r="Y18" i="3"/>
  <c r="X18" i="3"/>
  <c r="C18" i="3"/>
  <c r="Q18" i="3"/>
  <c r="R18" i="3"/>
  <c r="K18" i="3"/>
  <c r="J18" i="3"/>
  <c r="AK18" i="3"/>
  <c r="AD18" i="3"/>
  <c r="W18" i="3"/>
  <c r="P18" i="3"/>
  <c r="I18" i="3"/>
  <c r="B18" i="3"/>
  <c r="D18" i="3"/>
  <c r="D17" i="22741"/>
  <c r="C17" i="22741"/>
  <c r="B17" i="22741"/>
  <c r="EG18" i="22740"/>
  <c r="EF18" i="22740"/>
  <c r="EE18" i="22740"/>
  <c r="DZ18" i="22740"/>
  <c r="DY18" i="22740"/>
  <c r="DX18" i="22740"/>
  <c r="DS18" i="22740"/>
  <c r="DR18" i="22740"/>
  <c r="DQ18" i="22740"/>
  <c r="DL18" i="22740"/>
  <c r="DK18" i="22740"/>
  <c r="DJ18" i="22740"/>
  <c r="DE18" i="22740"/>
  <c r="DD18" i="22740"/>
  <c r="DC18" i="22740"/>
  <c r="CX18" i="22740"/>
  <c r="CW18" i="22740"/>
  <c r="CV18" i="22740"/>
  <c r="CQ18" i="22740"/>
  <c r="CP18" i="22740"/>
  <c r="CO18" i="22740"/>
  <c r="CJ18" i="22740"/>
  <c r="CI18" i="22740"/>
  <c r="CH18" i="22740"/>
  <c r="CC18" i="22740"/>
  <c r="CB18" i="22740"/>
  <c r="CA18" i="22740"/>
  <c r="BV18" i="22740"/>
  <c r="BU18" i="22740"/>
  <c r="BT18" i="22740"/>
  <c r="BO18" i="22740"/>
  <c r="BN18" i="22740"/>
  <c r="BM18" i="22740"/>
  <c r="BH18" i="22740"/>
  <c r="BG18" i="22740"/>
  <c r="BF18" i="22740"/>
  <c r="BA18" i="22740"/>
  <c r="AZ18" i="22740"/>
  <c r="AY18" i="22740"/>
  <c r="AT18" i="22740"/>
  <c r="AS18" i="22740"/>
  <c r="AR18" i="22740"/>
  <c r="AM18" i="22740"/>
  <c r="AL18" i="22740"/>
  <c r="AK18" i="22740"/>
  <c r="AF18" i="22740"/>
  <c r="AE18" i="22740"/>
  <c r="Y18" i="22740"/>
  <c r="X18" i="22740"/>
  <c r="R18" i="22740"/>
  <c r="Q18" i="22740"/>
  <c r="AD18" i="22740"/>
  <c r="W18" i="22740"/>
  <c r="P18" i="22740"/>
  <c r="K18" i="22740"/>
  <c r="J18" i="22740"/>
  <c r="I18" i="22740"/>
  <c r="B18" i="22740"/>
  <c r="D18" i="22740"/>
  <c r="C18" i="22740"/>
  <c r="D57" i="4"/>
  <c r="EG59" i="3"/>
  <c r="DZ59" i="3"/>
  <c r="DS59" i="3"/>
  <c r="DL59" i="3"/>
  <c r="DE59" i="3"/>
  <c r="CX59" i="3"/>
  <c r="CQ59" i="3"/>
  <c r="CJ59" i="3"/>
  <c r="CC59" i="3"/>
  <c r="BV59" i="3"/>
  <c r="BO59" i="3"/>
  <c r="BH59" i="3"/>
  <c r="BA59" i="3"/>
  <c r="AT59" i="3"/>
  <c r="AM59" i="3"/>
  <c r="AF59" i="3"/>
  <c r="Y59" i="3"/>
  <c r="R59" i="3"/>
  <c r="K59" i="3"/>
  <c r="D59" i="3"/>
  <c r="D58" i="22741"/>
  <c r="EG59" i="22740"/>
  <c r="DZ59" i="22740"/>
  <c r="DS59" i="22740"/>
  <c r="DL59" i="22740"/>
  <c r="DE59" i="22740"/>
  <c r="CX59" i="22740"/>
  <c r="CQ59" i="22740"/>
  <c r="CJ59" i="22740"/>
  <c r="CC59" i="22740"/>
  <c r="BV59" i="22740"/>
  <c r="BO59" i="22740"/>
  <c r="BH59" i="22740"/>
  <c r="BA59" i="22740"/>
  <c r="AT59" i="22740"/>
  <c r="AM59" i="22740"/>
  <c r="AF59" i="22740"/>
  <c r="Y59" i="22740"/>
  <c r="R59" i="22740"/>
  <c r="K59" i="22740"/>
  <c r="D59" i="22740"/>
  <c r="D152" i="2"/>
  <c r="F152" i="2" s="1"/>
  <c r="D151" i="2"/>
  <c r="F151" i="2" s="1"/>
  <c r="F154" i="2"/>
  <c r="D152" i="22739"/>
  <c r="F152" i="22739" s="1"/>
  <c r="D151" i="22739"/>
  <c r="F151" i="22739" s="1"/>
  <c r="F154" i="22739"/>
  <c r="D111" i="1" l="1"/>
  <c r="B111" i="1"/>
  <c r="D110" i="22738"/>
  <c r="B110" i="22738"/>
  <c r="E101" i="22738"/>
  <c r="D55" i="22741" s="1"/>
  <c r="B33" i="4"/>
  <c r="EE35" i="3"/>
  <c r="DX35" i="3"/>
  <c r="DQ35" i="3"/>
  <c r="DJ35" i="3"/>
  <c r="DC35" i="3"/>
  <c r="CV35" i="3"/>
  <c r="CO35" i="3"/>
  <c r="CH35" i="3"/>
  <c r="CA35" i="3"/>
  <c r="BT35" i="3"/>
  <c r="BM35" i="3"/>
  <c r="BF35" i="3"/>
  <c r="AY35" i="3"/>
  <c r="AR35" i="3"/>
  <c r="AK35" i="3"/>
  <c r="AD35" i="3"/>
  <c r="W35" i="3"/>
  <c r="P35" i="3"/>
  <c r="I35" i="3"/>
  <c r="H62" i="22744"/>
  <c r="G62" i="22744"/>
  <c r="D62" i="22744"/>
  <c r="C62" i="22744"/>
  <c r="H15" i="22744"/>
  <c r="H8" i="22744"/>
  <c r="G8" i="22744"/>
  <c r="D8" i="22744"/>
  <c r="C8" i="22744"/>
  <c r="A1" i="22744"/>
  <c r="C104" i="22743"/>
  <c r="C103" i="22743"/>
  <c r="H60" i="22743"/>
  <c r="F60" i="22743"/>
  <c r="D60" i="22743"/>
  <c r="C60" i="22743"/>
  <c r="C6" i="22743"/>
  <c r="E18" i="22740" l="1"/>
  <c r="E17" i="22741"/>
  <c r="F17" i="22741" s="1"/>
  <c r="CY18" i="22740"/>
  <c r="CZ18" i="22740" s="1"/>
  <c r="BI18" i="22740"/>
  <c r="BJ18" i="22740" s="1"/>
  <c r="AN18" i="22740"/>
  <c r="AO18" i="22740" s="1"/>
  <c r="AG18" i="22740"/>
  <c r="S18" i="22740"/>
  <c r="L18" i="22740"/>
  <c r="EA18" i="22740"/>
  <c r="EB18" i="22740" s="1"/>
  <c r="DT18" i="22740"/>
  <c r="DU18" i="22740" s="1"/>
  <c r="DF18" i="22740"/>
  <c r="DG18" i="22740" s="1"/>
  <c r="CK18" i="22740"/>
  <c r="CL18" i="22740" s="1"/>
  <c r="BW18" i="22740"/>
  <c r="BX18" i="22740" s="1"/>
  <c r="BB18" i="22740"/>
  <c r="BC18" i="22740" s="1"/>
  <c r="Z18" i="22740"/>
  <c r="EH18" i="22740"/>
  <c r="EI18" i="22740" s="1"/>
  <c r="DM18" i="22740"/>
  <c r="DN18" i="22740" s="1"/>
  <c r="CR18" i="22740"/>
  <c r="CS18" i="22740" s="1"/>
  <c r="CD18" i="22740"/>
  <c r="CE18" i="22740" s="1"/>
  <c r="BP18" i="22740"/>
  <c r="BQ18" i="22740" s="1"/>
  <c r="AU18" i="22740"/>
  <c r="AV18" i="22740" s="1"/>
  <c r="E17" i="4"/>
  <c r="F17" i="4" s="1"/>
  <c r="EH18" i="3"/>
  <c r="EI18" i="3" s="1"/>
  <c r="EA18" i="3"/>
  <c r="EB18" i="3" s="1"/>
  <c r="DT18" i="3"/>
  <c r="DU18" i="3" s="1"/>
  <c r="DM18" i="3"/>
  <c r="DN18" i="3" s="1"/>
  <c r="DF18" i="3"/>
  <c r="DG18" i="3" s="1"/>
  <c r="CY18" i="3"/>
  <c r="CZ18" i="3" s="1"/>
  <c r="CR18" i="3"/>
  <c r="CS18" i="3" s="1"/>
  <c r="CK18" i="3"/>
  <c r="CL18" i="3" s="1"/>
  <c r="CD18" i="3"/>
  <c r="CE18" i="3" s="1"/>
  <c r="BW18" i="3"/>
  <c r="BX18" i="3" s="1"/>
  <c r="BP18" i="3"/>
  <c r="BQ18" i="3" s="1"/>
  <c r="BI18" i="3"/>
  <c r="BJ18" i="3" s="1"/>
  <c r="BB18" i="3"/>
  <c r="BC18" i="3" s="1"/>
  <c r="AU18" i="3"/>
  <c r="AV18" i="3" s="1"/>
  <c r="L18" i="3"/>
  <c r="M18" i="3" s="1"/>
  <c r="AG18" i="3"/>
  <c r="AH18" i="3" s="1"/>
  <c r="S18" i="3"/>
  <c r="T18" i="3" s="1"/>
  <c r="Z18" i="3"/>
  <c r="AA18" i="3" s="1"/>
  <c r="E18" i="3"/>
  <c r="F18" i="3" s="1"/>
  <c r="AN18" i="3"/>
  <c r="AO18" i="3" s="1"/>
  <c r="B34" i="22741"/>
  <c r="EE35" i="22740"/>
  <c r="DX35" i="22740"/>
  <c r="DQ35" i="22740"/>
  <c r="DJ35" i="22740"/>
  <c r="DC35" i="22740"/>
  <c r="CV35" i="22740"/>
  <c r="CO35" i="22740"/>
  <c r="CH35" i="22740"/>
  <c r="CA35" i="22740"/>
  <c r="BT35" i="22740"/>
  <c r="BM35" i="22740"/>
  <c r="BF35" i="22740"/>
  <c r="AY35" i="22740"/>
  <c r="AR35" i="22740"/>
  <c r="AK35" i="22740"/>
  <c r="AD35" i="22740"/>
  <c r="W35" i="22740"/>
  <c r="P35" i="22740"/>
  <c r="I35" i="22740"/>
  <c r="F111" i="22744" l="1"/>
  <c r="E111" i="22744"/>
  <c r="F110" i="22744"/>
  <c r="E110" i="22744"/>
  <c r="F109" i="22744"/>
  <c r="E109" i="22744"/>
  <c r="F102" i="22744"/>
  <c r="F97" i="22744"/>
  <c r="F98" i="22744" s="1"/>
  <c r="D101" i="22744" s="1"/>
  <c r="E97" i="22744"/>
  <c r="E98" i="22744" s="1"/>
  <c r="D102" i="22744" s="1"/>
  <c r="H96" i="22744"/>
  <c r="H91" i="22744"/>
  <c r="G90" i="22744"/>
  <c r="D90" i="22744"/>
  <c r="H80" i="22744"/>
  <c r="H79" i="22744"/>
  <c r="H78" i="22744"/>
  <c r="H77" i="22744"/>
  <c r="H76" i="22744"/>
  <c r="H75" i="22744"/>
  <c r="H72" i="22744"/>
  <c r="H71" i="22744"/>
  <c r="D64" i="22744"/>
  <c r="H64" i="22744" s="1"/>
  <c r="E62" i="22744"/>
  <c r="D66" i="22744" s="1"/>
  <c r="H66" i="22744" s="1"/>
  <c r="F54" i="22744"/>
  <c r="E54" i="22744"/>
  <c r="F53" i="22744"/>
  <c r="H53" i="22744" s="1"/>
  <c r="F51" i="22744"/>
  <c r="H51" i="22744" s="1"/>
  <c r="F48" i="22744"/>
  <c r="F43" i="22744"/>
  <c r="F44" i="22744" s="1"/>
  <c r="D47" i="22744" s="1"/>
  <c r="E43" i="22744"/>
  <c r="E44" i="22744" s="1"/>
  <c r="D48" i="22744" s="1"/>
  <c r="H42" i="22744"/>
  <c r="H38" i="22744"/>
  <c r="G37" i="22744"/>
  <c r="H37" i="22744" s="1"/>
  <c r="H44" i="22744" s="1"/>
  <c r="D37" i="22744"/>
  <c r="H28" i="22744"/>
  <c r="H27" i="22744"/>
  <c r="H26" i="22744"/>
  <c r="H25" i="22744"/>
  <c r="H24" i="22744"/>
  <c r="H23" i="22744"/>
  <c r="H20" i="22744"/>
  <c r="H19" i="22744"/>
  <c r="H13" i="22743"/>
  <c r="H17" i="22743"/>
  <c r="H18" i="22743"/>
  <c r="H21" i="22743"/>
  <c r="H22" i="22743"/>
  <c r="H23" i="22743"/>
  <c r="H24" i="22743"/>
  <c r="H25" i="22743"/>
  <c r="H26" i="22743"/>
  <c r="D36" i="22743"/>
  <c r="G36" i="22743"/>
  <c r="H36" i="22743" s="1"/>
  <c r="H43" i="22743" s="1"/>
  <c r="H37" i="22743"/>
  <c r="H41" i="22743"/>
  <c r="E42" i="22743"/>
  <c r="E43" i="22743" s="1"/>
  <c r="D47" i="22743" s="1"/>
  <c r="F42" i="22743"/>
  <c r="F47" i="22743"/>
  <c r="F50" i="22743"/>
  <c r="H50" i="22743" s="1"/>
  <c r="F52" i="22743"/>
  <c r="H52" i="22743" s="1"/>
  <c r="E53" i="22743"/>
  <c r="F53" i="22743"/>
  <c r="H69" i="22743"/>
  <c r="H72" i="22743" s="1"/>
  <c r="H70" i="22743"/>
  <c r="H73" i="22743"/>
  <c r="H74" i="22743"/>
  <c r="H75" i="22743"/>
  <c r="H76" i="22743"/>
  <c r="H77" i="22743"/>
  <c r="H78" i="22743"/>
  <c r="D88" i="22743"/>
  <c r="G88" i="22743"/>
  <c r="H88" i="22743" s="1"/>
  <c r="H89" i="22743"/>
  <c r="H94" i="22743"/>
  <c r="E95" i="22743"/>
  <c r="F95" i="22743"/>
  <c r="F96" i="22743" s="1"/>
  <c r="D99" i="22743" s="1"/>
  <c r="E96" i="22743"/>
  <c r="D100" i="22743" s="1"/>
  <c r="H100" i="22743" s="1"/>
  <c r="E107" i="22743"/>
  <c r="F107" i="22743"/>
  <c r="E108" i="22743"/>
  <c r="F108" i="22743"/>
  <c r="H108" i="22743" s="1"/>
  <c r="F109" i="22743"/>
  <c r="H109" i="22743" s="1"/>
  <c r="H96" i="22743" l="1"/>
  <c r="D104" i="22743"/>
  <c r="H104" i="22743" s="1"/>
  <c r="H20" i="22743"/>
  <c r="E143" i="22739" s="1"/>
  <c r="H90" i="22744"/>
  <c r="H99" i="22743"/>
  <c r="H47" i="22744"/>
  <c r="E147" i="2" s="1"/>
  <c r="H80" i="22743"/>
  <c r="H30" i="22744"/>
  <c r="H74" i="22744"/>
  <c r="H82" i="22744"/>
  <c r="H109" i="22744"/>
  <c r="H22" i="22744"/>
  <c r="E143" i="2" s="1"/>
  <c r="E144" i="2"/>
  <c r="H48" i="22744"/>
  <c r="E148" i="2" s="1"/>
  <c r="D46" i="22743"/>
  <c r="H46" i="22743" s="1"/>
  <c r="E147" i="22739" s="1"/>
  <c r="F43" i="22743"/>
  <c r="H28" i="22743"/>
  <c r="E144" i="22739" s="1"/>
  <c r="H111" i="22744"/>
  <c r="H53" i="22743"/>
  <c r="H54" i="22743" s="1"/>
  <c r="H102" i="22744"/>
  <c r="H110" i="22744"/>
  <c r="H107" i="22743"/>
  <c r="H47" i="22743"/>
  <c r="H54" i="22744"/>
  <c r="H55" i="22744" s="1"/>
  <c r="D106" i="22744"/>
  <c r="H106" i="22744" s="1"/>
  <c r="H98" i="22744"/>
  <c r="H101" i="22744" s="1"/>
  <c r="D63" i="22744"/>
  <c r="D65" i="22744"/>
  <c r="H65" i="22744" s="1"/>
  <c r="F33" i="4" l="1"/>
  <c r="T35" i="3"/>
  <c r="AO35" i="3"/>
  <c r="EI35" i="3"/>
  <c r="BC35" i="3"/>
  <c r="BJ35" i="3"/>
  <c r="BX35" i="3"/>
  <c r="BQ35" i="3"/>
  <c r="AV35" i="3"/>
  <c r="CL35" i="3"/>
  <c r="EB35" i="3"/>
  <c r="CS35" i="3"/>
  <c r="CZ35" i="3"/>
  <c r="DG35" i="3"/>
  <c r="DN35" i="3"/>
  <c r="M35" i="3"/>
  <c r="AA35" i="3"/>
  <c r="CE35" i="3"/>
  <c r="DU35" i="3"/>
  <c r="AH35" i="3"/>
  <c r="E148" i="22739"/>
  <c r="AA35" i="22740"/>
  <c r="EI35" i="22740"/>
  <c r="DN35" i="22740"/>
  <c r="BQ35" i="22740"/>
  <c r="AV35" i="22740"/>
  <c r="BC35" i="22740"/>
  <c r="CS35" i="22740"/>
  <c r="BX35" i="22740"/>
  <c r="CE35" i="22740"/>
  <c r="BJ35" i="22740"/>
  <c r="M35" i="22740"/>
  <c r="DU35" i="22740"/>
  <c r="CZ35" i="22740"/>
  <c r="CL35" i="22740"/>
  <c r="AO35" i="22740"/>
  <c r="T35" i="22740"/>
  <c r="EB35" i="22740"/>
  <c r="AH35" i="22740"/>
  <c r="F34" i="22741"/>
  <c r="DG35" i="22740"/>
  <c r="H63" i="22744"/>
  <c r="D67" i="22744"/>
  <c r="H67" i="22744" s="1"/>
  <c r="H69" i="22744" l="1"/>
  <c r="H85" i="22744" s="1"/>
  <c r="H100" i="22744" s="1"/>
  <c r="H103" i="22744" s="1"/>
  <c r="D105" i="22744" l="1"/>
  <c r="H105" i="22744" l="1"/>
  <c r="C107" i="22744"/>
  <c r="H107" i="22744" s="1"/>
  <c r="H112" i="22744" l="1"/>
  <c r="D18" i="2" l="1"/>
  <c r="C35" i="22738" l="1"/>
  <c r="EG54" i="3" l="1"/>
  <c r="DZ54" i="3"/>
  <c r="DS54" i="3"/>
  <c r="DL54" i="3"/>
  <c r="DE54" i="3"/>
  <c r="CX54" i="3"/>
  <c r="CQ54" i="3"/>
  <c r="CJ54" i="3"/>
  <c r="CC54" i="3"/>
  <c r="BV54" i="3"/>
  <c r="BO54" i="3"/>
  <c r="BH54" i="3"/>
  <c r="BA54" i="3"/>
  <c r="AT54" i="3"/>
  <c r="AM54" i="3"/>
  <c r="AF54" i="3"/>
  <c r="Y54" i="3"/>
  <c r="R54" i="3"/>
  <c r="K54" i="3"/>
  <c r="EG56" i="3"/>
  <c r="EE56" i="3"/>
  <c r="DZ56" i="3"/>
  <c r="DX56" i="3"/>
  <c r="DS56" i="3"/>
  <c r="DQ56" i="3"/>
  <c r="DL56" i="3"/>
  <c r="DJ56" i="3"/>
  <c r="DE56" i="3"/>
  <c r="DC56" i="3"/>
  <c r="CX56" i="3"/>
  <c r="CV56" i="3"/>
  <c r="CQ56" i="3"/>
  <c r="CO56" i="3"/>
  <c r="CJ56" i="3"/>
  <c r="CH56" i="3"/>
  <c r="CC56" i="3"/>
  <c r="CA56" i="3"/>
  <c r="BV56" i="3"/>
  <c r="BT56" i="3"/>
  <c r="BO56" i="3"/>
  <c r="BM56" i="3"/>
  <c r="BH56" i="3"/>
  <c r="BF56" i="3"/>
  <c r="BA56" i="3"/>
  <c r="AY56" i="3"/>
  <c r="AT56" i="3"/>
  <c r="AR56" i="3"/>
  <c r="AM56" i="3"/>
  <c r="AK56" i="3"/>
  <c r="AF56" i="3"/>
  <c r="AD56" i="3"/>
  <c r="Y56" i="3"/>
  <c r="W56" i="3"/>
  <c r="R56" i="3"/>
  <c r="P56" i="3"/>
  <c r="K56" i="3"/>
  <c r="I56" i="3"/>
  <c r="B56" i="3"/>
  <c r="EG56" i="22740"/>
  <c r="DZ56" i="22740"/>
  <c r="DS56" i="22740"/>
  <c r="DL56" i="22740"/>
  <c r="DE56" i="22740"/>
  <c r="CX56" i="22740"/>
  <c r="CQ56" i="22740"/>
  <c r="CJ56" i="22740"/>
  <c r="CC56" i="22740"/>
  <c r="BV56" i="22740"/>
  <c r="BO56" i="22740"/>
  <c r="BH56" i="22740"/>
  <c r="BA56" i="22740"/>
  <c r="AT56" i="22740"/>
  <c r="AM56" i="22740"/>
  <c r="AF56" i="22740"/>
  <c r="Y56" i="22740"/>
  <c r="R56" i="22740"/>
  <c r="K56" i="22740"/>
  <c r="D56" i="22740"/>
  <c r="EG54" i="22740"/>
  <c r="DZ54" i="22740"/>
  <c r="DS54" i="22740"/>
  <c r="DL54" i="22740"/>
  <c r="DE54" i="22740"/>
  <c r="CX54" i="22740"/>
  <c r="CQ54" i="22740"/>
  <c r="CJ54" i="22740"/>
  <c r="CC54" i="22740"/>
  <c r="BV54" i="22740"/>
  <c r="BO54" i="22740"/>
  <c r="BH54" i="22740"/>
  <c r="BA54" i="22740"/>
  <c r="AT54" i="22740"/>
  <c r="AM54" i="22740"/>
  <c r="AF54" i="22740"/>
  <c r="Y54" i="22740"/>
  <c r="R54" i="22740"/>
  <c r="K54" i="22740"/>
  <c r="D54" i="22740"/>
  <c r="EE56" i="22740"/>
  <c r="DX56" i="22740"/>
  <c r="DQ56" i="22740"/>
  <c r="DJ56" i="22740"/>
  <c r="DC56" i="22740"/>
  <c r="CV56" i="22740"/>
  <c r="CO56" i="22740"/>
  <c r="CH56" i="22740"/>
  <c r="CA56" i="22740"/>
  <c r="BT56" i="22740"/>
  <c r="BM56" i="22740"/>
  <c r="BF56" i="22740"/>
  <c r="AY56" i="22740"/>
  <c r="AR56" i="22740"/>
  <c r="AK56" i="22740"/>
  <c r="AD56" i="22740"/>
  <c r="W56" i="22740"/>
  <c r="P56" i="22740"/>
  <c r="I56" i="22740"/>
  <c r="B56" i="22740"/>
  <c r="E70" i="1"/>
  <c r="B13" i="22715" s="1"/>
  <c r="C13" i="22715" s="1"/>
  <c r="E61" i="22738" s="1"/>
  <c r="A1" i="22715"/>
  <c r="A1" i="22738" s="1"/>
  <c r="E68" i="1"/>
  <c r="C38" i="1"/>
  <c r="EG61" i="3"/>
  <c r="EE60" i="3"/>
  <c r="EE54" i="3"/>
  <c r="EE49" i="3"/>
  <c r="EE47" i="3"/>
  <c r="DZ61" i="3"/>
  <c r="DX60" i="3"/>
  <c r="DX54" i="3"/>
  <c r="DX49" i="3"/>
  <c r="DX47" i="3"/>
  <c r="DS61" i="3"/>
  <c r="DQ60" i="3"/>
  <c r="DQ54" i="3"/>
  <c r="DQ49" i="3"/>
  <c r="DQ47" i="3"/>
  <c r="DL61" i="3"/>
  <c r="DJ60" i="3"/>
  <c r="DJ54" i="3"/>
  <c r="DJ49" i="3"/>
  <c r="DJ47" i="3"/>
  <c r="DE61" i="3"/>
  <c r="DC60" i="3"/>
  <c r="DC54" i="3"/>
  <c r="DC49" i="3"/>
  <c r="DC47" i="3"/>
  <c r="CX61" i="3"/>
  <c r="CV60" i="3"/>
  <c r="CV54" i="3"/>
  <c r="CV49" i="3"/>
  <c r="CV47" i="3"/>
  <c r="CQ61" i="3"/>
  <c r="CO60" i="3"/>
  <c r="CO54" i="3"/>
  <c r="CO49" i="3"/>
  <c r="CO47" i="3"/>
  <c r="CJ61" i="3"/>
  <c r="CH60" i="3"/>
  <c r="CH54" i="3"/>
  <c r="CH49" i="3"/>
  <c r="CH47" i="3"/>
  <c r="CC61" i="3"/>
  <c r="CA60" i="3"/>
  <c r="CA54" i="3"/>
  <c r="CA49" i="3"/>
  <c r="CA47" i="3"/>
  <c r="BV61" i="3"/>
  <c r="BT60" i="3"/>
  <c r="BT54" i="3"/>
  <c r="BT49" i="3"/>
  <c r="BT47" i="3"/>
  <c r="BO61" i="3"/>
  <c r="BM60" i="3"/>
  <c r="BM54" i="3"/>
  <c r="BM49" i="3"/>
  <c r="BM47" i="3"/>
  <c r="BH61" i="3"/>
  <c r="BF60" i="3"/>
  <c r="BF54" i="3"/>
  <c r="BF49" i="3"/>
  <c r="BF47" i="3"/>
  <c r="BA61" i="3"/>
  <c r="AY60" i="3"/>
  <c r="AY54" i="3"/>
  <c r="AY49" i="3"/>
  <c r="AY47" i="3"/>
  <c r="AT61" i="3"/>
  <c r="AR60" i="3"/>
  <c r="AR54" i="3"/>
  <c r="AR49" i="3"/>
  <c r="AR47" i="3"/>
  <c r="AM61" i="3"/>
  <c r="AK60" i="3"/>
  <c r="AK54" i="3"/>
  <c r="AK49" i="3"/>
  <c r="AK47" i="3"/>
  <c r="AF61" i="3"/>
  <c r="AD60" i="3"/>
  <c r="AD54" i="3"/>
  <c r="AD49" i="3"/>
  <c r="AD47" i="3"/>
  <c r="Y61" i="3"/>
  <c r="W60" i="3"/>
  <c r="W54" i="3"/>
  <c r="W49" i="3"/>
  <c r="W47" i="3"/>
  <c r="R61" i="3"/>
  <c r="P60" i="3"/>
  <c r="P54" i="3"/>
  <c r="P49" i="3"/>
  <c r="P47" i="3"/>
  <c r="K61" i="3"/>
  <c r="I60" i="3"/>
  <c r="I54" i="3"/>
  <c r="I49" i="3"/>
  <c r="I47" i="3"/>
  <c r="D61" i="3"/>
  <c r="D56" i="3"/>
  <c r="D54" i="3"/>
  <c r="EG61" i="22740"/>
  <c r="EE60" i="22740"/>
  <c r="EE54" i="22740"/>
  <c r="EE49" i="22740"/>
  <c r="EE47" i="22740"/>
  <c r="DZ61" i="22740"/>
  <c r="DX60" i="22740"/>
  <c r="DX54" i="22740"/>
  <c r="DX49" i="22740"/>
  <c r="DX47" i="22740"/>
  <c r="DS61" i="22740"/>
  <c r="DQ60" i="22740"/>
  <c r="DQ54" i="22740"/>
  <c r="DQ49" i="22740"/>
  <c r="DQ47" i="22740"/>
  <c r="DL61" i="22740"/>
  <c r="DJ60" i="22740"/>
  <c r="DJ54" i="22740"/>
  <c r="DJ49" i="22740"/>
  <c r="DJ47" i="22740"/>
  <c r="DE61" i="22740"/>
  <c r="DC60" i="22740"/>
  <c r="DC54" i="22740"/>
  <c r="DC49" i="22740"/>
  <c r="DC47" i="22740"/>
  <c r="CX61" i="22740"/>
  <c r="CV60" i="22740"/>
  <c r="CV54" i="22740"/>
  <c r="CV49" i="22740"/>
  <c r="CV47" i="22740"/>
  <c r="CQ61" i="22740"/>
  <c r="CO60" i="22740"/>
  <c r="CO54" i="22740"/>
  <c r="CO49" i="22740"/>
  <c r="CO47" i="22740"/>
  <c r="CJ61" i="22740"/>
  <c r="CH60" i="22740"/>
  <c r="CH54" i="22740"/>
  <c r="CH49" i="22740"/>
  <c r="CH47" i="22740"/>
  <c r="CC61" i="22740"/>
  <c r="CA60" i="22740"/>
  <c r="CA54" i="22740"/>
  <c r="CA49" i="22740"/>
  <c r="CA47" i="22740"/>
  <c r="BV61" i="22740"/>
  <c r="BT60" i="22740"/>
  <c r="BT54" i="22740"/>
  <c r="BT49" i="22740"/>
  <c r="BT47" i="22740"/>
  <c r="BO61" i="22740"/>
  <c r="BM60" i="22740"/>
  <c r="BM54" i="22740"/>
  <c r="BM49" i="22740"/>
  <c r="BM47" i="22740"/>
  <c r="BH61" i="22740"/>
  <c r="BF60" i="22740"/>
  <c r="BF54" i="22740"/>
  <c r="BF49" i="22740"/>
  <c r="BF47" i="22740"/>
  <c r="BA61" i="22740"/>
  <c r="AY60" i="22740"/>
  <c r="AY54" i="22740"/>
  <c r="AY49" i="22740"/>
  <c r="AY47" i="22740"/>
  <c r="AT61" i="22740"/>
  <c r="AR60" i="22740"/>
  <c r="AR54" i="22740"/>
  <c r="AR49" i="22740"/>
  <c r="AR47" i="22740"/>
  <c r="AM61" i="22740"/>
  <c r="AK60" i="22740"/>
  <c r="AK54" i="22740"/>
  <c r="AK49" i="22740"/>
  <c r="AK47" i="22740"/>
  <c r="Y61" i="22740"/>
  <c r="W60" i="22740"/>
  <c r="W54" i="22740"/>
  <c r="W49" i="22740"/>
  <c r="W47" i="22740"/>
  <c r="AF61" i="22740"/>
  <c r="AD60" i="22740"/>
  <c r="AD54" i="22740"/>
  <c r="AD49" i="22740"/>
  <c r="AD47" i="22740"/>
  <c r="R61" i="22740"/>
  <c r="P60" i="22740"/>
  <c r="P54" i="22740"/>
  <c r="P49" i="22740"/>
  <c r="P47" i="22740"/>
  <c r="K61" i="22740"/>
  <c r="I60" i="22740"/>
  <c r="I54" i="22740"/>
  <c r="I49" i="22740"/>
  <c r="I47" i="22740"/>
  <c r="D61" i="22740"/>
  <c r="A12" i="22715"/>
  <c r="E74" i="1"/>
  <c r="B75" i="22738"/>
  <c r="B47" i="22738"/>
  <c r="E9" i="22740" s="1"/>
  <c r="C75" i="22738"/>
  <c r="G10" i="22740" s="1"/>
  <c r="C47" i="22738"/>
  <c r="C48" i="22738" s="1"/>
  <c r="D75" i="22738"/>
  <c r="D81" i="22738" s="1"/>
  <c r="E75" i="22738"/>
  <c r="E88" i="22738" s="1"/>
  <c r="D47" i="22738"/>
  <c r="D50" i="22738" s="1"/>
  <c r="F62" i="22741"/>
  <c r="B94" i="22741" s="1"/>
  <c r="J91" i="22715" s="1"/>
  <c r="C41" i="22738"/>
  <c r="AT64" i="22740" s="1"/>
  <c r="AH63" i="22740"/>
  <c r="AA63" i="22740"/>
  <c r="T63" i="22740"/>
  <c r="M63" i="22740"/>
  <c r="F63" i="22740"/>
  <c r="C52" i="22739"/>
  <c r="E52" i="22739" s="1"/>
  <c r="C65" i="22739"/>
  <c r="C66" i="22739" s="1"/>
  <c r="F47" i="4"/>
  <c r="D37" i="4"/>
  <c r="D38" i="4"/>
  <c r="C15" i="4"/>
  <c r="C16" i="4"/>
  <c r="D39" i="4"/>
  <c r="C40" i="4"/>
  <c r="C41" i="4"/>
  <c r="C42" i="4"/>
  <c r="D42" i="4"/>
  <c r="C43" i="4"/>
  <c r="D43" i="4"/>
  <c r="C33" i="22738"/>
  <c r="C34" i="22738"/>
  <c r="C26" i="22739"/>
  <c r="C36" i="22739" s="1"/>
  <c r="C27" i="22739"/>
  <c r="C37" i="22739" s="1"/>
  <c r="C28" i="22739"/>
  <c r="C38" i="22739" s="1"/>
  <c r="C29" i="22739"/>
  <c r="C44" i="22739" s="1"/>
  <c r="C30" i="22739"/>
  <c r="C18" i="22739"/>
  <c r="D18" i="22739"/>
  <c r="C19" i="22739"/>
  <c r="D15" i="4"/>
  <c r="E15" i="4"/>
  <c r="D16" i="4"/>
  <c r="E16" i="4"/>
  <c r="B25" i="22738"/>
  <c r="C9" i="22739" s="1"/>
  <c r="E15" i="22739"/>
  <c r="C32" i="22738"/>
  <c r="D9" i="22739" s="1"/>
  <c r="D110" i="22739"/>
  <c r="E110" i="22739" s="1"/>
  <c r="C64" i="22740"/>
  <c r="C16" i="22740"/>
  <c r="C17" i="22740"/>
  <c r="D41" i="22740"/>
  <c r="D39" i="22740"/>
  <c r="D40" i="22740"/>
  <c r="C44" i="22740"/>
  <c r="D44" i="22740"/>
  <c r="D45" i="22740"/>
  <c r="F35" i="22738"/>
  <c r="D67" i="22715" s="1"/>
  <c r="F49" i="22740"/>
  <c r="C42" i="22740"/>
  <c r="C43" i="22740"/>
  <c r="B35" i="22740"/>
  <c r="F35" i="22740" s="1"/>
  <c r="E28" i="22740"/>
  <c r="F28" i="22740" s="1"/>
  <c r="E29" i="22740"/>
  <c r="E30" i="22740"/>
  <c r="E31" i="22740"/>
  <c r="E32" i="22740"/>
  <c r="D16" i="22740"/>
  <c r="D17" i="22740"/>
  <c r="E17" i="22740"/>
  <c r="F13" i="22740"/>
  <c r="J64" i="22740"/>
  <c r="J16" i="22740"/>
  <c r="J17" i="22740"/>
  <c r="K41" i="22740"/>
  <c r="K39" i="22740"/>
  <c r="K40" i="22740"/>
  <c r="J44" i="22740"/>
  <c r="K44" i="22740"/>
  <c r="K45" i="22740"/>
  <c r="M49" i="22740"/>
  <c r="J42" i="22740"/>
  <c r="J43" i="22740"/>
  <c r="L28" i="22740"/>
  <c r="M28" i="22740" s="1"/>
  <c r="L29" i="22740"/>
  <c r="L30" i="22740"/>
  <c r="L31" i="22740"/>
  <c r="L32" i="22740"/>
  <c r="K16" i="22740"/>
  <c r="K17" i="22740"/>
  <c r="L17" i="22740"/>
  <c r="M13" i="22740"/>
  <c r="Q64" i="22740"/>
  <c r="Q16" i="22740"/>
  <c r="Q17" i="22740"/>
  <c r="R41" i="22740"/>
  <c r="R39" i="22740"/>
  <c r="R40" i="22740"/>
  <c r="Q44" i="22740"/>
  <c r="R44" i="22740"/>
  <c r="R45" i="22740"/>
  <c r="T49" i="22740"/>
  <c r="Q42" i="22740"/>
  <c r="Q43" i="22740"/>
  <c r="S28" i="22740"/>
  <c r="T28" i="22740" s="1"/>
  <c r="S29" i="22740"/>
  <c r="S30" i="22740"/>
  <c r="S31" i="22740"/>
  <c r="S32" i="22740"/>
  <c r="R16" i="22740"/>
  <c r="R17" i="22740"/>
  <c r="S17" i="22740"/>
  <c r="T13" i="22740"/>
  <c r="X64" i="22740"/>
  <c r="X16" i="22740"/>
  <c r="X17" i="22740"/>
  <c r="Y41" i="22740"/>
  <c r="Y39" i="22740"/>
  <c r="Y40" i="22740"/>
  <c r="X44" i="22740"/>
  <c r="Y44" i="22740"/>
  <c r="X45" i="22740"/>
  <c r="Y45" i="22740"/>
  <c r="AA49" i="22740"/>
  <c r="X42" i="22740"/>
  <c r="X43" i="22740"/>
  <c r="Z28" i="22740"/>
  <c r="AA28" i="22740" s="1"/>
  <c r="Z29" i="22740"/>
  <c r="Z30" i="22740"/>
  <c r="Z31" i="22740"/>
  <c r="Z32" i="22740"/>
  <c r="Y16" i="22740"/>
  <c r="Y17" i="22740"/>
  <c r="Z17" i="22740"/>
  <c r="AA13" i="22740"/>
  <c r="AE64" i="22740"/>
  <c r="AE16" i="22740"/>
  <c r="AE17" i="22740"/>
  <c r="AF41" i="22740"/>
  <c r="AF39" i="22740"/>
  <c r="AF40" i="22740"/>
  <c r="AE44" i="22740"/>
  <c r="AF44" i="22740"/>
  <c r="AE45" i="22740"/>
  <c r="AF45" i="22740"/>
  <c r="AH49" i="22740"/>
  <c r="AE42" i="22740"/>
  <c r="AE43" i="22740"/>
  <c r="AG28" i="22740"/>
  <c r="AH28" i="22740" s="1"/>
  <c r="AG29" i="22740"/>
  <c r="AG30" i="22740"/>
  <c r="AG31" i="22740"/>
  <c r="AG32" i="22740"/>
  <c r="AF16" i="22740"/>
  <c r="AF17" i="22740"/>
  <c r="AG17" i="22740"/>
  <c r="AH13" i="22740"/>
  <c r="C63" i="22741"/>
  <c r="C15" i="22741"/>
  <c r="C16" i="22741"/>
  <c r="D40" i="22741"/>
  <c r="D38" i="22741"/>
  <c r="D39" i="22741"/>
  <c r="D53" i="22741"/>
  <c r="C43" i="22741"/>
  <c r="D43" i="22741"/>
  <c r="C44" i="22741"/>
  <c r="D44" i="22741"/>
  <c r="D60" i="22741"/>
  <c r="C41" i="22741"/>
  <c r="C42" i="22741"/>
  <c r="E27" i="22741"/>
  <c r="F27" i="22741" s="1"/>
  <c r="E28" i="22741"/>
  <c r="E29" i="22741"/>
  <c r="E30" i="22741"/>
  <c r="E31" i="22741"/>
  <c r="D15" i="22741"/>
  <c r="D16" i="22741"/>
  <c r="E16" i="22741"/>
  <c r="EH28" i="22740"/>
  <c r="EI28" i="22740" s="1"/>
  <c r="EA28" i="22740"/>
  <c r="EB28" i="22740" s="1"/>
  <c r="DT28" i="22740"/>
  <c r="DU28" i="22740" s="1"/>
  <c r="DM28" i="22740"/>
  <c r="DN28" i="22740" s="1"/>
  <c r="DF28" i="22740"/>
  <c r="DG28" i="22740" s="1"/>
  <c r="CY28" i="22740"/>
  <c r="CZ28" i="22740" s="1"/>
  <c r="CR28" i="22740"/>
  <c r="CS28" i="22740" s="1"/>
  <c r="CK28" i="22740"/>
  <c r="CL28" i="22740" s="1"/>
  <c r="CD28" i="22740"/>
  <c r="CE28" i="22740" s="1"/>
  <c r="BW28" i="22740"/>
  <c r="BX28" i="22740" s="1"/>
  <c r="BP28" i="22740"/>
  <c r="BQ28" i="22740" s="1"/>
  <c r="BI28" i="22740"/>
  <c r="BJ28" i="22740" s="1"/>
  <c r="BB28" i="22740"/>
  <c r="BC28" i="22740" s="1"/>
  <c r="AU28" i="22740"/>
  <c r="AV28" i="22740" s="1"/>
  <c r="AN28" i="22740"/>
  <c r="AO28" i="22740" s="1"/>
  <c r="E26" i="4"/>
  <c r="F26" i="4" s="1"/>
  <c r="EH28" i="3"/>
  <c r="EI28" i="3" s="1"/>
  <c r="EA28" i="3"/>
  <c r="EB28" i="3" s="1"/>
  <c r="DT28" i="3"/>
  <c r="DU28" i="3" s="1"/>
  <c r="DM28" i="3"/>
  <c r="DN28" i="3" s="1"/>
  <c r="DF28" i="3"/>
  <c r="DG28" i="3" s="1"/>
  <c r="CY28" i="3"/>
  <c r="CZ28" i="3" s="1"/>
  <c r="CR28" i="3"/>
  <c r="CS28" i="3" s="1"/>
  <c r="CK28" i="3"/>
  <c r="CL28" i="3" s="1"/>
  <c r="CD28" i="3"/>
  <c r="CE28" i="3" s="1"/>
  <c r="BW28" i="3"/>
  <c r="BX28" i="3" s="1"/>
  <c r="BP28" i="3"/>
  <c r="BQ28" i="3" s="1"/>
  <c r="BI28" i="3"/>
  <c r="BJ28" i="3" s="1"/>
  <c r="BB28" i="3"/>
  <c r="BC28" i="3" s="1"/>
  <c r="AU28" i="3"/>
  <c r="AV28" i="3" s="1"/>
  <c r="AN28" i="3"/>
  <c r="AO28" i="3" s="1"/>
  <c r="AG28" i="3"/>
  <c r="AH28" i="3" s="1"/>
  <c r="Z28" i="3"/>
  <c r="AA28" i="3" s="1"/>
  <c r="S28" i="3"/>
  <c r="T28" i="3" s="1"/>
  <c r="L28" i="3"/>
  <c r="M28" i="3" s="1"/>
  <c r="E28" i="3"/>
  <c r="F28" i="3" s="1"/>
  <c r="B79" i="1"/>
  <c r="AB9" i="3" s="1"/>
  <c r="B80" i="1"/>
  <c r="B81" i="1"/>
  <c r="B82" i="1"/>
  <c r="AW9" i="3" s="1"/>
  <c r="B83" i="1"/>
  <c r="BK9" i="3" s="1"/>
  <c r="B84" i="1"/>
  <c r="B85" i="1"/>
  <c r="B86" i="1"/>
  <c r="B87" i="1"/>
  <c r="CF9" i="3" s="1"/>
  <c r="B88" i="1"/>
  <c r="CM9" i="3" s="1"/>
  <c r="B89" i="1"/>
  <c r="B90" i="1"/>
  <c r="DA9" i="3" s="1"/>
  <c r="B77" i="1"/>
  <c r="N9" i="3" s="1"/>
  <c r="B78" i="1"/>
  <c r="B92" i="1" s="1"/>
  <c r="DO9" i="3" s="1"/>
  <c r="B95" i="1"/>
  <c r="EJ9" i="3" s="1"/>
  <c r="C79" i="1"/>
  <c r="AB10" i="3" s="1"/>
  <c r="C80" i="1"/>
  <c r="C81" i="1"/>
  <c r="C95" i="1" s="1"/>
  <c r="EJ10" i="3" s="1"/>
  <c r="C82" i="1"/>
  <c r="C83" i="1"/>
  <c r="BD10" i="3" s="1"/>
  <c r="C84" i="1"/>
  <c r="C85" i="1"/>
  <c r="C86" i="1"/>
  <c r="C87" i="1"/>
  <c r="CF10" i="3" s="1"/>
  <c r="C88" i="1"/>
  <c r="C89" i="1"/>
  <c r="C90" i="1"/>
  <c r="C77" i="1"/>
  <c r="C91" i="1" s="1"/>
  <c r="DH10" i="3" s="1"/>
  <c r="C78" i="1"/>
  <c r="C94" i="1"/>
  <c r="D79" i="1"/>
  <c r="D93" i="1" s="1"/>
  <c r="D80" i="1"/>
  <c r="D94" i="1" s="1"/>
  <c r="D81" i="1"/>
  <c r="D95" i="1" s="1"/>
  <c r="D82" i="1"/>
  <c r="D83" i="1"/>
  <c r="D84" i="1"/>
  <c r="D85" i="1"/>
  <c r="D86" i="1"/>
  <c r="D87" i="1"/>
  <c r="D88" i="1"/>
  <c r="D89" i="1"/>
  <c r="D90" i="1"/>
  <c r="D77" i="1"/>
  <c r="D91" i="1"/>
  <c r="D78" i="1"/>
  <c r="D92" i="1" s="1"/>
  <c r="G79" i="1"/>
  <c r="G80" i="1"/>
  <c r="G81" i="1"/>
  <c r="G95" i="1" s="1"/>
  <c r="G82" i="1"/>
  <c r="G83" i="1"/>
  <c r="G84" i="1"/>
  <c r="G85" i="1"/>
  <c r="G86" i="1"/>
  <c r="G87" i="1"/>
  <c r="G88" i="1"/>
  <c r="G89" i="1"/>
  <c r="G90" i="1"/>
  <c r="G77" i="1"/>
  <c r="G91" i="1" s="1"/>
  <c r="G78" i="1"/>
  <c r="G92" i="1" s="1"/>
  <c r="G93" i="1"/>
  <c r="G94" i="1"/>
  <c r="E79" i="1"/>
  <c r="E93" i="1" s="1"/>
  <c r="E80" i="1"/>
  <c r="E81" i="1"/>
  <c r="E95" i="1" s="1"/>
  <c r="E82" i="1"/>
  <c r="E83" i="1"/>
  <c r="E84" i="1"/>
  <c r="E85" i="1"/>
  <c r="E86" i="1"/>
  <c r="E87" i="1"/>
  <c r="E88" i="1"/>
  <c r="E89" i="1"/>
  <c r="E90" i="1"/>
  <c r="E77" i="1"/>
  <c r="E91" i="1" s="1"/>
  <c r="E78" i="1"/>
  <c r="E92" i="1" s="1"/>
  <c r="E94" i="1"/>
  <c r="H157" i="22738"/>
  <c r="D157" i="22738" s="1"/>
  <c r="D131" i="22739" s="1"/>
  <c r="E131" i="22739" s="1"/>
  <c r="C24" i="22738"/>
  <c r="H158" i="22738"/>
  <c r="D158" i="22738" s="1"/>
  <c r="D111" i="22739" s="1"/>
  <c r="E111" i="22739" s="1"/>
  <c r="C166" i="22738"/>
  <c r="CJ37" i="22740" s="1"/>
  <c r="B29" i="22738"/>
  <c r="B30" i="22738" s="1"/>
  <c r="D33" i="22741" s="1"/>
  <c r="AL64" i="22740"/>
  <c r="AO63" i="22740"/>
  <c r="AL16" i="22740"/>
  <c r="AL17" i="22740"/>
  <c r="AM41" i="22740"/>
  <c r="AM39" i="22740"/>
  <c r="AM40" i="22740"/>
  <c r="AL44" i="22740"/>
  <c r="AM44" i="22740"/>
  <c r="AL45" i="22740"/>
  <c r="AM45" i="22740"/>
  <c r="AL42" i="22740"/>
  <c r="AL43" i="22740"/>
  <c r="AO49" i="22740"/>
  <c r="AN29" i="22740"/>
  <c r="AN30" i="22740"/>
  <c r="AN31" i="22740"/>
  <c r="AN32" i="22740"/>
  <c r="AM16" i="22740"/>
  <c r="AM17" i="22740"/>
  <c r="AN17" i="22740"/>
  <c r="AO13" i="22740"/>
  <c r="AS64" i="22740"/>
  <c r="AV63" i="22740"/>
  <c r="AS16" i="22740"/>
  <c r="AS17" i="22740"/>
  <c r="AT41" i="22740"/>
  <c r="AT39" i="22740"/>
  <c r="AT40" i="22740"/>
  <c r="AS44" i="22740"/>
  <c r="AT44" i="22740"/>
  <c r="AS45" i="22740"/>
  <c r="AT45" i="22740"/>
  <c r="AS42" i="22740"/>
  <c r="AS43" i="22740"/>
  <c r="AV49" i="22740"/>
  <c r="AU29" i="22740"/>
  <c r="AU30" i="22740"/>
  <c r="AU31" i="22740"/>
  <c r="AU32" i="22740"/>
  <c r="AT16" i="22740"/>
  <c r="AT17" i="22740"/>
  <c r="AU17" i="22740"/>
  <c r="AV13" i="22740"/>
  <c r="AZ64" i="22740"/>
  <c r="BC63" i="22740"/>
  <c r="AZ16" i="22740"/>
  <c r="AZ17" i="22740"/>
  <c r="BA41" i="22740"/>
  <c r="BA39" i="22740"/>
  <c r="BA40" i="22740"/>
  <c r="AZ44" i="22740"/>
  <c r="BA44" i="22740"/>
  <c r="AZ45" i="22740"/>
  <c r="BA45" i="22740"/>
  <c r="AZ42" i="22740"/>
  <c r="AZ43" i="22740"/>
  <c r="BC49" i="22740"/>
  <c r="BB29" i="22740"/>
  <c r="BB30" i="22740"/>
  <c r="BB31" i="22740"/>
  <c r="BB32" i="22740"/>
  <c r="BA16" i="22740"/>
  <c r="BA17" i="22740"/>
  <c r="BB17" i="22740"/>
  <c r="BC13" i="22740"/>
  <c r="BG64" i="22740"/>
  <c r="BJ63" i="22740"/>
  <c r="BG16" i="22740"/>
  <c r="BG17" i="22740"/>
  <c r="BH41" i="22740"/>
  <c r="BH39" i="22740"/>
  <c r="BH40" i="22740"/>
  <c r="BG44" i="22740"/>
  <c r="BH44" i="22740"/>
  <c r="BG45" i="22740"/>
  <c r="BH45" i="22740"/>
  <c r="BG42" i="22740"/>
  <c r="BG43" i="22740"/>
  <c r="BJ49" i="22740"/>
  <c r="BH37" i="22740"/>
  <c r="BI29" i="22740"/>
  <c r="BI30" i="22740"/>
  <c r="BI31" i="22740"/>
  <c r="BI32" i="22740"/>
  <c r="BH16" i="22740"/>
  <c r="BH17" i="22740"/>
  <c r="BI17" i="22740"/>
  <c r="BJ13" i="22740"/>
  <c r="BN64" i="22740"/>
  <c r="BQ63" i="22740"/>
  <c r="BN16" i="22740"/>
  <c r="BN17" i="22740"/>
  <c r="BO41" i="22740"/>
  <c r="BO39" i="22740"/>
  <c r="BO40" i="22740"/>
  <c r="BN44" i="22740"/>
  <c r="BO44" i="22740"/>
  <c r="BN45" i="22740"/>
  <c r="BO45" i="22740"/>
  <c r="BN42" i="22740"/>
  <c r="BN43" i="22740"/>
  <c r="BQ49" i="22740"/>
  <c r="BP29" i="22740"/>
  <c r="BP30" i="22740"/>
  <c r="BP31" i="22740"/>
  <c r="BP32" i="22740"/>
  <c r="BO16" i="22740"/>
  <c r="BO17" i="22740"/>
  <c r="BP17" i="22740"/>
  <c r="BQ13" i="22740"/>
  <c r="BU64" i="22740"/>
  <c r="BX63" i="22740"/>
  <c r="BU16" i="22740"/>
  <c r="BU17" i="22740"/>
  <c r="BV41" i="22740"/>
  <c r="BV39" i="22740"/>
  <c r="BV40" i="22740"/>
  <c r="BU44" i="22740"/>
  <c r="BV44" i="22740"/>
  <c r="BU45" i="22740"/>
  <c r="BV45" i="22740"/>
  <c r="BU42" i="22740"/>
  <c r="BU43" i="22740"/>
  <c r="BX49" i="22740"/>
  <c r="BW29" i="22740"/>
  <c r="BW30" i="22740"/>
  <c r="BW31" i="22740"/>
  <c r="BW32" i="22740"/>
  <c r="BV16" i="22740"/>
  <c r="BV17" i="22740"/>
  <c r="BW17" i="22740"/>
  <c r="BX13" i="22740"/>
  <c r="CB64" i="22740"/>
  <c r="CE63" i="22740"/>
  <c r="CB16" i="22740"/>
  <c r="CB17" i="22740"/>
  <c r="CC41" i="22740"/>
  <c r="CC39" i="22740"/>
  <c r="CC40" i="22740"/>
  <c r="CB44" i="22740"/>
  <c r="CC44" i="22740"/>
  <c r="CB45" i="22740"/>
  <c r="CC45" i="22740"/>
  <c r="CB42" i="22740"/>
  <c r="CB43" i="22740"/>
  <c r="CE49" i="22740"/>
  <c r="CD29" i="22740"/>
  <c r="CD30" i="22740"/>
  <c r="CD31" i="22740"/>
  <c r="CD32" i="22740"/>
  <c r="CC16" i="22740"/>
  <c r="CC17" i="22740"/>
  <c r="CD17" i="22740"/>
  <c r="CE13" i="22740"/>
  <c r="CI64" i="22740"/>
  <c r="CL63" i="22740"/>
  <c r="CI16" i="22740"/>
  <c r="CI17" i="22740"/>
  <c r="CJ41" i="22740"/>
  <c r="CJ39" i="22740"/>
  <c r="CJ40" i="22740"/>
  <c r="CI44" i="22740"/>
  <c r="CJ44" i="22740"/>
  <c r="CI45" i="22740"/>
  <c r="CJ45" i="22740"/>
  <c r="CI42" i="22740"/>
  <c r="CI43" i="22740"/>
  <c r="CL49" i="22740"/>
  <c r="CK29" i="22740"/>
  <c r="CK30" i="22740"/>
  <c r="CK31" i="22740"/>
  <c r="CK32" i="22740"/>
  <c r="CJ16" i="22740"/>
  <c r="CJ17" i="22740"/>
  <c r="CK17" i="22740"/>
  <c r="CL13" i="22740"/>
  <c r="CP64" i="22740"/>
  <c r="CS63" i="22740"/>
  <c r="CP16" i="22740"/>
  <c r="CP17" i="22740"/>
  <c r="CQ41" i="22740"/>
  <c r="CQ39" i="22740"/>
  <c r="CQ40" i="22740"/>
  <c r="CP44" i="22740"/>
  <c r="CQ44" i="22740"/>
  <c r="CP45" i="22740"/>
  <c r="CQ45" i="22740"/>
  <c r="CP42" i="22740"/>
  <c r="CP43" i="22740"/>
  <c r="CS49" i="22740"/>
  <c r="CQ37" i="22740"/>
  <c r="CR29" i="22740"/>
  <c r="CR30" i="22740"/>
  <c r="CR31" i="22740"/>
  <c r="CR32" i="22740"/>
  <c r="CQ16" i="22740"/>
  <c r="CQ17" i="22740"/>
  <c r="CR17" i="22740"/>
  <c r="CS13" i="22740"/>
  <c r="CW64" i="22740"/>
  <c r="CZ63" i="22740"/>
  <c r="CW16" i="22740"/>
  <c r="CW17" i="22740"/>
  <c r="CX41" i="22740"/>
  <c r="CX39" i="22740"/>
  <c r="CX40" i="22740"/>
  <c r="CW44" i="22740"/>
  <c r="CX44" i="22740"/>
  <c r="CW45" i="22740"/>
  <c r="CX45" i="22740"/>
  <c r="CW42" i="22740"/>
  <c r="CW43" i="22740"/>
  <c r="CZ49" i="22740"/>
  <c r="CX37" i="22740"/>
  <c r="CY29" i="22740"/>
  <c r="CY30" i="22740"/>
  <c r="CY31" i="22740"/>
  <c r="CY32" i="22740"/>
  <c r="CX16" i="22740"/>
  <c r="CX17" i="22740"/>
  <c r="CY17" i="22740"/>
  <c r="CZ13" i="22740"/>
  <c r="DD64" i="22740"/>
  <c r="DG63" i="22740"/>
  <c r="DD16" i="22740"/>
  <c r="DD17" i="22740"/>
  <c r="DE41" i="22740"/>
  <c r="DE39" i="22740"/>
  <c r="DE40" i="22740"/>
  <c r="DD44" i="22740"/>
  <c r="DE44" i="22740"/>
  <c r="DD45" i="22740"/>
  <c r="DE45" i="22740"/>
  <c r="DD42" i="22740"/>
  <c r="DD43" i="22740"/>
  <c r="DG49" i="22740"/>
  <c r="DE37" i="22740"/>
  <c r="DF29" i="22740"/>
  <c r="DF30" i="22740"/>
  <c r="DF31" i="22740"/>
  <c r="DF32" i="22740"/>
  <c r="DE16" i="22740"/>
  <c r="DE17" i="22740"/>
  <c r="DF17" i="22740"/>
  <c r="DG13" i="22740"/>
  <c r="DK64" i="22740"/>
  <c r="DN63" i="22740"/>
  <c r="DK16" i="22740"/>
  <c r="DK17" i="22740"/>
  <c r="DL41" i="22740"/>
  <c r="DL39" i="22740"/>
  <c r="DL40" i="22740"/>
  <c r="DK44" i="22740"/>
  <c r="DL44" i="22740"/>
  <c r="DK45" i="22740"/>
  <c r="DL45" i="22740"/>
  <c r="DK42" i="22740"/>
  <c r="DK43" i="22740"/>
  <c r="DN49" i="22740"/>
  <c r="DM29" i="22740"/>
  <c r="DM30" i="22740"/>
  <c r="DM31" i="22740"/>
  <c r="DM32" i="22740"/>
  <c r="DL16" i="22740"/>
  <c r="DL17" i="22740"/>
  <c r="DM17" i="22740"/>
  <c r="DN13" i="22740"/>
  <c r="DR64" i="22740"/>
  <c r="DU63" i="22740"/>
  <c r="DR16" i="22740"/>
  <c r="DR17" i="22740"/>
  <c r="DS41" i="22740"/>
  <c r="DS39" i="22740"/>
  <c r="DS40" i="22740"/>
  <c r="DR44" i="22740"/>
  <c r="DS44" i="22740"/>
  <c r="DR45" i="22740"/>
  <c r="DS45" i="22740"/>
  <c r="DR42" i="22740"/>
  <c r="DR43" i="22740"/>
  <c r="DU49" i="22740"/>
  <c r="DS37" i="22740"/>
  <c r="DT29" i="22740"/>
  <c r="DT30" i="22740"/>
  <c r="DT31" i="22740"/>
  <c r="DT32" i="22740"/>
  <c r="DS16" i="22740"/>
  <c r="DS17" i="22740"/>
  <c r="DT17" i="22740"/>
  <c r="DU13" i="22740"/>
  <c r="DY64" i="22740"/>
  <c r="EB63" i="22740"/>
  <c r="DY16" i="22740"/>
  <c r="DY17" i="22740"/>
  <c r="DZ41" i="22740"/>
  <c r="DZ39" i="22740"/>
  <c r="DZ40" i="22740"/>
  <c r="DY44" i="22740"/>
  <c r="DZ44" i="22740"/>
  <c r="DY45" i="22740"/>
  <c r="DZ45" i="22740"/>
  <c r="DY42" i="22740"/>
  <c r="DY43" i="22740"/>
  <c r="EB49" i="22740"/>
  <c r="DZ37" i="22740"/>
  <c r="EA29" i="22740"/>
  <c r="EA30" i="22740"/>
  <c r="EA31" i="22740"/>
  <c r="EA32" i="22740"/>
  <c r="DZ16" i="22740"/>
  <c r="DZ17" i="22740"/>
  <c r="EA17" i="22740"/>
  <c r="EB13" i="22740"/>
  <c r="EF64" i="22740"/>
  <c r="EI63" i="22740"/>
  <c r="EF16" i="22740"/>
  <c r="EF17" i="22740"/>
  <c r="EG41" i="22740"/>
  <c r="EG39" i="22740"/>
  <c r="EG40" i="22740"/>
  <c r="EF44" i="22740"/>
  <c r="EG44" i="22740"/>
  <c r="EF45" i="22740"/>
  <c r="EG45" i="22740"/>
  <c r="EF42" i="22740"/>
  <c r="EF43" i="22740"/>
  <c r="EI49" i="22740"/>
  <c r="EH29" i="22740"/>
  <c r="EH30" i="22740"/>
  <c r="EH31" i="22740"/>
  <c r="EH32" i="22740"/>
  <c r="EG16" i="22740"/>
  <c r="EG17" i="22740"/>
  <c r="EH17" i="22740"/>
  <c r="C37" i="1"/>
  <c r="F61" i="4"/>
  <c r="B93" i="4" s="1"/>
  <c r="H91" i="22715" s="1"/>
  <c r="D62" i="4"/>
  <c r="AH63" i="3"/>
  <c r="AF64" i="3"/>
  <c r="AA63" i="3"/>
  <c r="Y64" i="3"/>
  <c r="T63" i="3"/>
  <c r="R64" i="3"/>
  <c r="M63" i="3"/>
  <c r="K64" i="3"/>
  <c r="F63" i="3"/>
  <c r="D64" i="3"/>
  <c r="C52" i="2"/>
  <c r="C57" i="2" s="1"/>
  <c r="E57" i="2" s="1"/>
  <c r="C65" i="2"/>
  <c r="C66" i="2" s="1"/>
  <c r="H165" i="1"/>
  <c r="D165" i="1" s="1"/>
  <c r="D32" i="2"/>
  <c r="D66" i="2" s="1"/>
  <c r="D69" i="2"/>
  <c r="E69" i="2" s="1"/>
  <c r="C26" i="2"/>
  <c r="C36" i="2" s="1"/>
  <c r="D118" i="2" s="1"/>
  <c r="E118" i="2" s="1"/>
  <c r="C27" i="2"/>
  <c r="C37" i="2" s="1"/>
  <c r="C28" i="2"/>
  <c r="C38" i="2" s="1"/>
  <c r="D39" i="2"/>
  <c r="E39" i="2" s="1"/>
  <c r="D41" i="2"/>
  <c r="E41" i="2" s="1"/>
  <c r="D43" i="2"/>
  <c r="E43" i="2" s="1"/>
  <c r="C29" i="2"/>
  <c r="D44" i="2"/>
  <c r="D45" i="2"/>
  <c r="D26" i="2"/>
  <c r="D27" i="2"/>
  <c r="D29" i="2"/>
  <c r="C30" i="2"/>
  <c r="E33" i="2"/>
  <c r="C18" i="2"/>
  <c r="E18" i="2" s="1"/>
  <c r="C19" i="2"/>
  <c r="D19" i="2"/>
  <c r="C25" i="1"/>
  <c r="C9" i="2"/>
  <c r="C16" i="2" s="1"/>
  <c r="E16" i="2" s="1"/>
  <c r="E15" i="2"/>
  <c r="D9" i="2"/>
  <c r="E110" i="2"/>
  <c r="H166" i="1"/>
  <c r="D166" i="1" s="1"/>
  <c r="C64" i="3"/>
  <c r="C16" i="3"/>
  <c r="C17" i="3"/>
  <c r="D41" i="3"/>
  <c r="E52" i="3"/>
  <c r="D39" i="3"/>
  <c r="D40" i="3"/>
  <c r="E53" i="3"/>
  <c r="E54" i="3"/>
  <c r="C44" i="3"/>
  <c r="D44" i="3"/>
  <c r="D45" i="3"/>
  <c r="E55" i="3"/>
  <c r="G9" i="3"/>
  <c r="D12" i="3"/>
  <c r="G10" i="3"/>
  <c r="E61" i="3"/>
  <c r="F49" i="3"/>
  <c r="C42" i="3"/>
  <c r="C43" i="3"/>
  <c r="C175" i="1"/>
  <c r="K37" i="3" s="1"/>
  <c r="B35" i="3"/>
  <c r="F35" i="3" s="1"/>
  <c r="E29" i="3"/>
  <c r="F76" i="1"/>
  <c r="F82" i="1" s="1"/>
  <c r="AW11" i="3" s="1"/>
  <c r="E30" i="3"/>
  <c r="E31" i="3"/>
  <c r="E32" i="3"/>
  <c r="D16" i="3"/>
  <c r="E16" i="3"/>
  <c r="D17" i="3"/>
  <c r="E17" i="3"/>
  <c r="E9" i="3"/>
  <c r="E10" i="3"/>
  <c r="E11" i="3"/>
  <c r="F13" i="3"/>
  <c r="J64" i="3"/>
  <c r="J16" i="3"/>
  <c r="J17" i="3"/>
  <c r="K41" i="3"/>
  <c r="L52" i="3"/>
  <c r="K39" i="3"/>
  <c r="K40" i="3"/>
  <c r="L53" i="3"/>
  <c r="L54" i="3"/>
  <c r="M54" i="3" s="1"/>
  <c r="J44" i="3"/>
  <c r="K44" i="3"/>
  <c r="K45" i="3"/>
  <c r="L55" i="3"/>
  <c r="K12" i="3"/>
  <c r="L61" i="3"/>
  <c r="M49" i="3"/>
  <c r="J42" i="3"/>
  <c r="J43" i="3"/>
  <c r="L29" i="3"/>
  <c r="L30" i="3"/>
  <c r="L31" i="3"/>
  <c r="L32" i="3"/>
  <c r="K16" i="3"/>
  <c r="L16" i="3"/>
  <c r="K17" i="3"/>
  <c r="L17" i="3"/>
  <c r="B49" i="1"/>
  <c r="L9" i="3" s="1"/>
  <c r="C49" i="1"/>
  <c r="D49" i="1"/>
  <c r="L11" i="3" s="1"/>
  <c r="M13" i="3"/>
  <c r="Q64" i="3"/>
  <c r="Q16" i="3"/>
  <c r="Q17" i="3"/>
  <c r="R41" i="3"/>
  <c r="S52" i="3"/>
  <c r="R39" i="3"/>
  <c r="R40" i="3"/>
  <c r="S53" i="3"/>
  <c r="S54" i="3"/>
  <c r="Q44" i="3"/>
  <c r="R44" i="3"/>
  <c r="R45" i="3"/>
  <c r="S55" i="3"/>
  <c r="R12" i="3"/>
  <c r="H28" i="22714" s="1"/>
  <c r="S61" i="3"/>
  <c r="T49" i="3"/>
  <c r="Q42" i="3"/>
  <c r="Q43" i="3"/>
  <c r="R37" i="3"/>
  <c r="S29" i="3"/>
  <c r="S30" i="3"/>
  <c r="S31" i="3"/>
  <c r="S32" i="3"/>
  <c r="R16" i="3"/>
  <c r="S16" i="3"/>
  <c r="R17" i="3"/>
  <c r="S17" i="3"/>
  <c r="D50" i="1"/>
  <c r="S11" i="3" s="1"/>
  <c r="T13" i="3"/>
  <c r="X64" i="3"/>
  <c r="X16" i="3"/>
  <c r="X17" i="3"/>
  <c r="Y41" i="3"/>
  <c r="Z52" i="3"/>
  <c r="Y39" i="3"/>
  <c r="Y40" i="3"/>
  <c r="Z53" i="3"/>
  <c r="Z54" i="3"/>
  <c r="X44" i="3"/>
  <c r="Y44" i="3"/>
  <c r="X45" i="3"/>
  <c r="Y45" i="3"/>
  <c r="Z55" i="3"/>
  <c r="Y12" i="3"/>
  <c r="Z61" i="3"/>
  <c r="AA49" i="3"/>
  <c r="X42" i="3"/>
  <c r="X43" i="3"/>
  <c r="Y37" i="3"/>
  <c r="Z29" i="3"/>
  <c r="Z30" i="3"/>
  <c r="Z31" i="3"/>
  <c r="Z32" i="3"/>
  <c r="Y16" i="3"/>
  <c r="Z16" i="3"/>
  <c r="Y17" i="3"/>
  <c r="Z17" i="3"/>
  <c r="D51" i="1"/>
  <c r="Z11" i="3" s="1"/>
  <c r="AA13" i="3"/>
  <c r="AE64" i="3"/>
  <c r="AE16" i="3"/>
  <c r="AE17" i="3"/>
  <c r="AF41" i="3"/>
  <c r="AG52" i="3"/>
  <c r="AF39" i="3"/>
  <c r="AF40" i="3"/>
  <c r="AG53" i="3"/>
  <c r="AG54" i="3"/>
  <c r="AE44" i="3"/>
  <c r="AF44" i="3"/>
  <c r="AE45" i="3"/>
  <c r="AF45" i="3"/>
  <c r="AG55" i="3"/>
  <c r="AG57" i="3"/>
  <c r="AH57" i="3" s="1"/>
  <c r="AF12" i="3"/>
  <c r="H30" i="22714" s="1"/>
  <c r="AI10" i="3"/>
  <c r="AG61" i="3"/>
  <c r="AH49" i="3"/>
  <c r="AE42" i="3"/>
  <c r="AE43" i="3"/>
  <c r="AF37" i="3"/>
  <c r="AG29" i="3"/>
  <c r="AG30" i="3"/>
  <c r="AG31" i="3"/>
  <c r="AG32" i="3"/>
  <c r="AF16" i="3"/>
  <c r="AG16" i="3"/>
  <c r="AF17" i="3"/>
  <c r="AG17" i="3"/>
  <c r="D52" i="1"/>
  <c r="AG11" i="3" s="1"/>
  <c r="AH13" i="3"/>
  <c r="C62" i="4"/>
  <c r="E50" i="4"/>
  <c r="E51" i="4"/>
  <c r="D52" i="4"/>
  <c r="E52" i="4"/>
  <c r="E53" i="4"/>
  <c r="D59" i="4"/>
  <c r="E59" i="4"/>
  <c r="D35" i="4"/>
  <c r="B30" i="1"/>
  <c r="B31" i="1" s="1"/>
  <c r="D32" i="4" s="1"/>
  <c r="E27" i="4"/>
  <c r="E28" i="4"/>
  <c r="E29" i="4"/>
  <c r="E30" i="4"/>
  <c r="AN58" i="3"/>
  <c r="AO58" i="3" s="1"/>
  <c r="AO63" i="3"/>
  <c r="AM64" i="3"/>
  <c r="AL64" i="3"/>
  <c r="AL16" i="3"/>
  <c r="AL17" i="3"/>
  <c r="AM41" i="3"/>
  <c r="AN52" i="3"/>
  <c r="AM39" i="3"/>
  <c r="AM40" i="3"/>
  <c r="AN53" i="3"/>
  <c r="AN54" i="3"/>
  <c r="AL44" i="3"/>
  <c r="AM44" i="3"/>
  <c r="AL45" i="3"/>
  <c r="AM45" i="3"/>
  <c r="AN55" i="3"/>
  <c r="AP9" i="3"/>
  <c r="AN61" i="3"/>
  <c r="AO49" i="3"/>
  <c r="AL42" i="3"/>
  <c r="AL43" i="3"/>
  <c r="AM37" i="3"/>
  <c r="AN29" i="3"/>
  <c r="AN30" i="3"/>
  <c r="AN31" i="3"/>
  <c r="AN32" i="3"/>
  <c r="AM16" i="3"/>
  <c r="AN16" i="3"/>
  <c r="AM17" i="3"/>
  <c r="AN17" i="3"/>
  <c r="AV63" i="3"/>
  <c r="AT64" i="3"/>
  <c r="D53" i="1"/>
  <c r="AN11" i="3" s="1"/>
  <c r="AO13" i="3"/>
  <c r="AS64" i="3"/>
  <c r="AS16" i="3"/>
  <c r="AS17" i="3"/>
  <c r="AT41" i="3"/>
  <c r="AU52" i="3"/>
  <c r="AT39" i="3"/>
  <c r="AT40" i="3"/>
  <c r="AU53" i="3"/>
  <c r="AU54" i="3"/>
  <c r="AS44" i="3"/>
  <c r="AT44" i="3"/>
  <c r="AS45" i="3"/>
  <c r="AT45" i="3"/>
  <c r="AU55" i="3"/>
  <c r="AW10" i="3"/>
  <c r="AU61" i="3"/>
  <c r="AV49" i="3"/>
  <c r="AS42" i="3"/>
  <c r="AS43" i="3"/>
  <c r="AT37" i="3"/>
  <c r="AU29" i="3"/>
  <c r="AU30" i="3"/>
  <c r="AU31" i="3"/>
  <c r="AU32" i="3"/>
  <c r="AT16" i="3"/>
  <c r="AU16" i="3"/>
  <c r="AT17" i="3"/>
  <c r="AU17" i="3"/>
  <c r="BC63" i="3"/>
  <c r="BA64" i="3"/>
  <c r="D54" i="1"/>
  <c r="AU11" i="3" s="1"/>
  <c r="AV13" i="3"/>
  <c r="AZ64" i="3"/>
  <c r="AZ16" i="3"/>
  <c r="AZ17" i="3"/>
  <c r="BA41" i="3"/>
  <c r="BB52" i="3"/>
  <c r="BA39" i="3"/>
  <c r="BA40" i="3"/>
  <c r="BB53" i="3"/>
  <c r="BB54" i="3"/>
  <c r="AZ44" i="3"/>
  <c r="BA44" i="3"/>
  <c r="AZ45" i="3"/>
  <c r="BA45" i="3"/>
  <c r="BB55" i="3"/>
  <c r="BD9" i="3"/>
  <c r="BB61" i="3"/>
  <c r="BC49" i="3"/>
  <c r="AZ42" i="3"/>
  <c r="AZ43" i="3"/>
  <c r="BA37" i="3"/>
  <c r="BB29" i="3"/>
  <c r="BB30" i="3"/>
  <c r="BB31" i="3"/>
  <c r="BB32" i="3"/>
  <c r="BA16" i="3"/>
  <c r="BB16" i="3"/>
  <c r="BA17" i="3"/>
  <c r="BB17" i="3"/>
  <c r="BJ63" i="3"/>
  <c r="BH64" i="3"/>
  <c r="D55" i="1"/>
  <c r="BB11" i="3"/>
  <c r="BC13" i="3"/>
  <c r="BG64" i="3"/>
  <c r="BG16" i="3"/>
  <c r="BG17" i="3"/>
  <c r="BH41" i="3"/>
  <c r="BI52" i="3"/>
  <c r="BH39" i="3"/>
  <c r="BH40" i="3"/>
  <c r="BI53" i="3"/>
  <c r="BI54" i="3"/>
  <c r="BG44" i="3"/>
  <c r="BH44" i="3"/>
  <c r="BG45" i="3"/>
  <c r="BH45" i="3"/>
  <c r="BI55" i="3"/>
  <c r="BK10" i="3"/>
  <c r="BI60" i="3"/>
  <c r="BI61" i="3"/>
  <c r="BJ49" i="3"/>
  <c r="BG42" i="3"/>
  <c r="BG43" i="3"/>
  <c r="BH37" i="3"/>
  <c r="BI29" i="3"/>
  <c r="BI30" i="3"/>
  <c r="BI31" i="3"/>
  <c r="BI32" i="3"/>
  <c r="BH16" i="3"/>
  <c r="BI16" i="3"/>
  <c r="BH17" i="3"/>
  <c r="BI17" i="3"/>
  <c r="BQ63" i="3"/>
  <c r="BO64" i="3"/>
  <c r="D56" i="1"/>
  <c r="BI11" i="3"/>
  <c r="BJ13" i="3"/>
  <c r="BN64" i="3"/>
  <c r="BN16" i="3"/>
  <c r="BN17" i="3"/>
  <c r="BO41" i="3"/>
  <c r="BP52" i="3"/>
  <c r="BO39" i="3"/>
  <c r="BO40" i="3"/>
  <c r="BP53" i="3"/>
  <c r="BP54" i="3"/>
  <c r="BN44" i="3"/>
  <c r="BO44" i="3"/>
  <c r="BN45" i="3"/>
  <c r="BO45" i="3"/>
  <c r="BP55" i="3"/>
  <c r="BR9" i="3"/>
  <c r="BR10" i="3"/>
  <c r="BP61" i="3"/>
  <c r="BQ49" i="3"/>
  <c r="BN42" i="3"/>
  <c r="BN43" i="3"/>
  <c r="BO37" i="3"/>
  <c r="BP29" i="3"/>
  <c r="BP30" i="3"/>
  <c r="BP31" i="3"/>
  <c r="BP32" i="3"/>
  <c r="BO16" i="3"/>
  <c r="BP16" i="3"/>
  <c r="BO17" i="3"/>
  <c r="BP17" i="3"/>
  <c r="BX63" i="3"/>
  <c r="BV64" i="3"/>
  <c r="D57" i="1"/>
  <c r="BP11" i="3"/>
  <c r="BQ13" i="3"/>
  <c r="BU64" i="3"/>
  <c r="BU16" i="3"/>
  <c r="BU17" i="3"/>
  <c r="BV41" i="3"/>
  <c r="BW52" i="3"/>
  <c r="BV39" i="3"/>
  <c r="BV40" i="3"/>
  <c r="BW53" i="3"/>
  <c r="BW54" i="3"/>
  <c r="BU44" i="3"/>
  <c r="BV44" i="3"/>
  <c r="BU45" i="3"/>
  <c r="BV45" i="3"/>
  <c r="BW55" i="3"/>
  <c r="BY9" i="3"/>
  <c r="BY10" i="3"/>
  <c r="BW61" i="3"/>
  <c r="BX49" i="3"/>
  <c r="BU42" i="3"/>
  <c r="BU43" i="3"/>
  <c r="BV37" i="3"/>
  <c r="BW29" i="3"/>
  <c r="BW30" i="3"/>
  <c r="BW31" i="3"/>
  <c r="BW32" i="3"/>
  <c r="BV16" i="3"/>
  <c r="BW16" i="3"/>
  <c r="BV17" i="3"/>
  <c r="BW17" i="3"/>
  <c r="CE63" i="3"/>
  <c r="CC64" i="3"/>
  <c r="D58" i="1"/>
  <c r="BW11" i="3"/>
  <c r="BX13" i="3"/>
  <c r="CB64" i="3"/>
  <c r="CB16" i="3"/>
  <c r="CB17" i="3"/>
  <c r="CC41" i="3"/>
  <c r="CD52" i="3"/>
  <c r="CC39" i="3"/>
  <c r="CC40" i="3"/>
  <c r="CD53" i="3"/>
  <c r="CD54" i="3"/>
  <c r="CB44" i="3"/>
  <c r="CC44" i="3"/>
  <c r="CB45" i="3"/>
  <c r="CC45" i="3"/>
  <c r="CD55" i="3"/>
  <c r="CD61" i="3"/>
  <c r="CE49" i="3"/>
  <c r="CB42" i="3"/>
  <c r="CB43" i="3"/>
  <c r="CC37" i="3"/>
  <c r="CD29" i="3"/>
  <c r="CD30" i="3"/>
  <c r="CD31" i="3"/>
  <c r="CD32" i="3"/>
  <c r="CC16" i="3"/>
  <c r="CD16" i="3"/>
  <c r="CC17" i="3"/>
  <c r="CD17" i="3"/>
  <c r="CL63" i="3"/>
  <c r="CJ64" i="3"/>
  <c r="D59" i="1"/>
  <c r="CD11" i="3" s="1"/>
  <c r="CE13" i="3"/>
  <c r="CI64" i="3"/>
  <c r="CI16" i="3"/>
  <c r="CI17" i="3"/>
  <c r="CJ41" i="3"/>
  <c r="CK52" i="3"/>
  <c r="CJ39" i="3"/>
  <c r="CJ40" i="3"/>
  <c r="CK53" i="3"/>
  <c r="CK54" i="3"/>
  <c r="CI44" i="3"/>
  <c r="CJ44" i="3"/>
  <c r="CI45" i="3"/>
  <c r="CJ45" i="3"/>
  <c r="CK55" i="3"/>
  <c r="CM10" i="3"/>
  <c r="CK61" i="3"/>
  <c r="CL49" i="3"/>
  <c r="CI42" i="3"/>
  <c r="CI43" i="3"/>
  <c r="CJ37" i="3"/>
  <c r="CK29" i="3"/>
  <c r="CK30" i="3"/>
  <c r="CK31" i="3"/>
  <c r="CK32" i="3"/>
  <c r="CJ16" i="3"/>
  <c r="CK16" i="3"/>
  <c r="CJ17" i="3"/>
  <c r="CK17" i="3"/>
  <c r="CS63" i="3"/>
  <c r="CQ64" i="3"/>
  <c r="D60" i="1"/>
  <c r="CK11" i="3" s="1"/>
  <c r="CL13" i="3"/>
  <c r="CP64" i="3"/>
  <c r="CP16" i="3"/>
  <c r="CP17" i="3"/>
  <c r="CQ41" i="3"/>
  <c r="CR52" i="3"/>
  <c r="CQ39" i="3"/>
  <c r="CQ40" i="3"/>
  <c r="CR53" i="3"/>
  <c r="CR54" i="3"/>
  <c r="CP44" i="3"/>
  <c r="CQ44" i="3"/>
  <c r="CP45" i="3"/>
  <c r="CQ45" i="3"/>
  <c r="CR55" i="3"/>
  <c r="CT9" i="3"/>
  <c r="CT10" i="3"/>
  <c r="CR61" i="3"/>
  <c r="CS49" i="3"/>
  <c r="CP42" i="3"/>
  <c r="CP43" i="3"/>
  <c r="CQ37" i="3"/>
  <c r="CR29" i="3"/>
  <c r="CR30" i="3"/>
  <c r="CR31" i="3"/>
  <c r="CR32" i="3"/>
  <c r="CQ16" i="3"/>
  <c r="CR16" i="3"/>
  <c r="CQ17" i="3"/>
  <c r="CR17" i="3"/>
  <c r="CZ63" i="3"/>
  <c r="CX64" i="3"/>
  <c r="D61" i="1"/>
  <c r="CR11" i="3" s="1"/>
  <c r="CS13" i="3"/>
  <c r="CW64" i="3"/>
  <c r="CW16" i="3"/>
  <c r="CW17" i="3"/>
  <c r="CX41" i="3"/>
  <c r="CY52" i="3"/>
  <c r="CX39" i="3"/>
  <c r="CX40" i="3"/>
  <c r="CY53" i="3"/>
  <c r="CY54" i="3"/>
  <c r="CW44" i="3"/>
  <c r="CX44" i="3"/>
  <c r="CW45" i="3"/>
  <c r="CX45" i="3"/>
  <c r="CY55" i="3"/>
  <c r="DA10" i="3"/>
  <c r="CY61" i="3"/>
  <c r="CZ49" i="3"/>
  <c r="CW42" i="3"/>
  <c r="CW43" i="3"/>
  <c r="CX37" i="3"/>
  <c r="CY29" i="3"/>
  <c r="CY30" i="3"/>
  <c r="CY31" i="3"/>
  <c r="CY32" i="3"/>
  <c r="CX16" i="3"/>
  <c r="CY16" i="3"/>
  <c r="CX17" i="3"/>
  <c r="CY17" i="3"/>
  <c r="DF58" i="3"/>
  <c r="DG58" i="3" s="1"/>
  <c r="DG63" i="3"/>
  <c r="DE64" i="3"/>
  <c r="D62" i="1"/>
  <c r="CZ13" i="3"/>
  <c r="DD64" i="3"/>
  <c r="DD16" i="3"/>
  <c r="DD17" i="3"/>
  <c r="DE41" i="3"/>
  <c r="DF52" i="3"/>
  <c r="DE39" i="3"/>
  <c r="DE40" i="3"/>
  <c r="DF53" i="3"/>
  <c r="DF54" i="3"/>
  <c r="DD44" i="3"/>
  <c r="DE44" i="3"/>
  <c r="DD45" i="3"/>
  <c r="DE45" i="3"/>
  <c r="DF55" i="3"/>
  <c r="DF61" i="3"/>
  <c r="DG49" i="3"/>
  <c r="DD42" i="3"/>
  <c r="DD43" i="3"/>
  <c r="DE37" i="3"/>
  <c r="DF29" i="3"/>
  <c r="DF30" i="3"/>
  <c r="DF31" i="3"/>
  <c r="DF32" i="3"/>
  <c r="DE16" i="3"/>
  <c r="DF16" i="3"/>
  <c r="DE17" i="3"/>
  <c r="DF17" i="3"/>
  <c r="DK16" i="3"/>
  <c r="DK17" i="3"/>
  <c r="DL41" i="3"/>
  <c r="DM52" i="3"/>
  <c r="DL39" i="3"/>
  <c r="DL40" i="3"/>
  <c r="DM53" i="3"/>
  <c r="DM54" i="3"/>
  <c r="DK44" i="3"/>
  <c r="DL44" i="3"/>
  <c r="DK45" i="3"/>
  <c r="DL45" i="3"/>
  <c r="DM55" i="3"/>
  <c r="DM61" i="3"/>
  <c r="D63" i="1"/>
  <c r="DF11" i="3"/>
  <c r="DG13" i="3"/>
  <c r="DL64" i="3"/>
  <c r="DK64" i="3"/>
  <c r="DN63" i="3"/>
  <c r="DN49" i="3"/>
  <c r="DK42" i="3"/>
  <c r="DK43" i="3"/>
  <c r="DL37" i="3"/>
  <c r="DM29" i="3"/>
  <c r="DM30" i="3"/>
  <c r="DM31" i="3"/>
  <c r="DM32" i="3"/>
  <c r="DL16" i="3"/>
  <c r="DM16" i="3"/>
  <c r="DL17" i="3"/>
  <c r="DM17" i="3"/>
  <c r="DR16" i="3"/>
  <c r="DR17" i="3"/>
  <c r="DS41" i="3"/>
  <c r="DT52" i="3"/>
  <c r="DS39" i="3"/>
  <c r="DS40" i="3"/>
  <c r="DT53" i="3"/>
  <c r="DT54" i="3"/>
  <c r="DR44" i="3"/>
  <c r="DS44" i="3"/>
  <c r="DR45" i="3"/>
  <c r="DS45" i="3"/>
  <c r="DT55" i="3"/>
  <c r="DT61" i="3"/>
  <c r="D64" i="1"/>
  <c r="DM11" i="3"/>
  <c r="DN13" i="3"/>
  <c r="DS64" i="3"/>
  <c r="DR64" i="3"/>
  <c r="DU63" i="3"/>
  <c r="DU49" i="3"/>
  <c r="DR42" i="3"/>
  <c r="DR43" i="3"/>
  <c r="DS37" i="3"/>
  <c r="DT29" i="3"/>
  <c r="DT30" i="3"/>
  <c r="DT31" i="3"/>
  <c r="DT32" i="3"/>
  <c r="DS16" i="3"/>
  <c r="DT16" i="3"/>
  <c r="DS17" i="3"/>
  <c r="DT17" i="3"/>
  <c r="DY16" i="3"/>
  <c r="DY17" i="3"/>
  <c r="DZ41" i="3"/>
  <c r="EA52" i="3"/>
  <c r="DZ39" i="3"/>
  <c r="DZ40" i="3"/>
  <c r="EA53" i="3"/>
  <c r="EA54" i="3"/>
  <c r="DY44" i="3"/>
  <c r="DZ44" i="3"/>
  <c r="DY45" i="3"/>
  <c r="DZ45" i="3"/>
  <c r="EA55" i="3"/>
  <c r="EC10" i="3"/>
  <c r="EA61" i="3"/>
  <c r="D65" i="1"/>
  <c r="DT11" i="3" s="1"/>
  <c r="DU13" i="3"/>
  <c r="DZ64" i="3"/>
  <c r="DY64" i="3"/>
  <c r="EB63" i="3"/>
  <c r="EB49" i="3"/>
  <c r="DY42" i="3"/>
  <c r="DY43" i="3"/>
  <c r="DZ37" i="3"/>
  <c r="EA29" i="3"/>
  <c r="EA30" i="3"/>
  <c r="EA31" i="3"/>
  <c r="EA32" i="3"/>
  <c r="DZ16" i="3"/>
  <c r="EA16" i="3"/>
  <c r="DZ17" i="3"/>
  <c r="EA17" i="3"/>
  <c r="EF16" i="3"/>
  <c r="EF17" i="3"/>
  <c r="EG41" i="3"/>
  <c r="EH52" i="3"/>
  <c r="EG39" i="3"/>
  <c r="EG40" i="3"/>
  <c r="EH53" i="3"/>
  <c r="EH54" i="3"/>
  <c r="EF44" i="3"/>
  <c r="EG44" i="3"/>
  <c r="EF45" i="3"/>
  <c r="EG45" i="3"/>
  <c r="EH55" i="3"/>
  <c r="EG12" i="3"/>
  <c r="EH61" i="3"/>
  <c r="D66" i="1"/>
  <c r="EA11" i="3" s="1"/>
  <c r="EB13" i="3"/>
  <c r="EG64" i="3"/>
  <c r="EF64" i="3"/>
  <c r="EI63" i="3"/>
  <c r="EI49" i="3"/>
  <c r="EF42" i="3"/>
  <c r="EF43" i="3"/>
  <c r="EG37" i="3"/>
  <c r="EH29" i="3"/>
  <c r="EH30" i="3"/>
  <c r="EH31" i="3"/>
  <c r="EH32" i="3"/>
  <c r="EG16" i="3"/>
  <c r="EH16" i="3"/>
  <c r="EG17" i="3"/>
  <c r="EH17" i="3"/>
  <c r="EE73" i="3"/>
  <c r="J38" i="22741"/>
  <c r="J39" i="22741"/>
  <c r="J40" i="22741"/>
  <c r="J41" i="22741"/>
  <c r="J43" i="22741"/>
  <c r="J44" i="22741"/>
  <c r="J46" i="22741"/>
  <c r="J37" i="4"/>
  <c r="J38" i="4"/>
  <c r="J39" i="4"/>
  <c r="J40" i="4"/>
  <c r="J42" i="4"/>
  <c r="J43" i="4"/>
  <c r="J45" i="4"/>
  <c r="D67" i="1"/>
  <c r="EH11" i="3" s="1"/>
  <c r="F12" i="4"/>
  <c r="B39" i="22715" s="1"/>
  <c r="F12" i="22741"/>
  <c r="D39" i="22715" s="1"/>
  <c r="E86" i="22739"/>
  <c r="E87" i="22739"/>
  <c r="E88" i="22739"/>
  <c r="E89" i="22739"/>
  <c r="E90" i="22739"/>
  <c r="E91" i="22739"/>
  <c r="E92" i="22739"/>
  <c r="E93" i="22739"/>
  <c r="E103" i="22739" s="1"/>
  <c r="E134" i="22739" s="1"/>
  <c r="E94" i="22739"/>
  <c r="E95" i="22739"/>
  <c r="E98" i="22739"/>
  <c r="E99" i="22739"/>
  <c r="E100" i="22739"/>
  <c r="E101" i="22739"/>
  <c r="E102" i="22739"/>
  <c r="C119" i="22739"/>
  <c r="E123" i="22739"/>
  <c r="E126" i="22739" s="1"/>
  <c r="E124" i="22739"/>
  <c r="E125" i="22739"/>
  <c r="E84" i="22739"/>
  <c r="E83" i="22739"/>
  <c r="E82" i="22739"/>
  <c r="E81" i="22739"/>
  <c r="E123" i="2"/>
  <c r="E125" i="2"/>
  <c r="E124" i="2"/>
  <c r="E126" i="2"/>
  <c r="E86" i="2"/>
  <c r="E87" i="2"/>
  <c r="E88" i="2"/>
  <c r="E89" i="2"/>
  <c r="E90" i="2"/>
  <c r="E91" i="2"/>
  <c r="E92" i="2"/>
  <c r="E93" i="2"/>
  <c r="E94" i="2"/>
  <c r="E95" i="2"/>
  <c r="E98" i="2"/>
  <c r="E99" i="2"/>
  <c r="E100" i="2"/>
  <c r="E101" i="2"/>
  <c r="E102" i="2"/>
  <c r="C119" i="2"/>
  <c r="E112" i="2"/>
  <c r="E84" i="2"/>
  <c r="E83" i="2"/>
  <c r="E82" i="2"/>
  <c r="E81" i="2"/>
  <c r="H148" i="22738"/>
  <c r="D112" i="22739" s="1"/>
  <c r="E112" i="22739" s="1"/>
  <c r="E54" i="2"/>
  <c r="E55" i="2"/>
  <c r="E56" i="2"/>
  <c r="E58" i="2"/>
  <c r="E20" i="2"/>
  <c r="B12" i="1"/>
  <c r="B2" i="4" s="1"/>
  <c r="C1" i="22742"/>
  <c r="A2" i="22742"/>
  <c r="C1" i="22714"/>
  <c r="A2" i="22741"/>
  <c r="B17" i="22740"/>
  <c r="B16" i="22740"/>
  <c r="I17" i="22740"/>
  <c r="I16" i="22740"/>
  <c r="B17" i="3"/>
  <c r="B16" i="3"/>
  <c r="B1" i="22740"/>
  <c r="B5" i="3"/>
  <c r="B47" i="1"/>
  <c r="W9" i="3" s="1"/>
  <c r="C47" i="1"/>
  <c r="W10" i="3" s="1"/>
  <c r="D47" i="1"/>
  <c r="W11" i="3" s="1"/>
  <c r="B1" i="3"/>
  <c r="A1" i="3"/>
  <c r="B66" i="22739"/>
  <c r="B3" i="22739"/>
  <c r="A3" i="22739"/>
  <c r="B3" i="2"/>
  <c r="A3" i="2"/>
  <c r="A2" i="22714"/>
  <c r="A2" i="4"/>
  <c r="A2" i="2"/>
  <c r="H1" i="22715"/>
  <c r="C1" i="2"/>
  <c r="D1" i="22715" s="1"/>
  <c r="B2" i="22715"/>
  <c r="F48" i="1"/>
  <c r="F49" i="1"/>
  <c r="F50" i="1"/>
  <c r="F51" i="1"/>
  <c r="F52" i="1"/>
  <c r="F67" i="1"/>
  <c r="E20" i="22739"/>
  <c r="E54" i="22739"/>
  <c r="E55" i="22739"/>
  <c r="E56" i="22739"/>
  <c r="E58" i="22739"/>
  <c r="B16" i="22715"/>
  <c r="C16" i="22715" s="1"/>
  <c r="G3" i="22715"/>
  <c r="EI13" i="3"/>
  <c r="EI13" i="22740"/>
  <c r="A1" i="22714"/>
  <c r="B1" i="2"/>
  <c r="B1" i="22715" s="1"/>
  <c r="A109" i="4"/>
  <c r="G101" i="22715" s="1"/>
  <c r="G214" i="22715"/>
  <c r="G219" i="22715" s="1"/>
  <c r="G213" i="22715"/>
  <c r="G218" i="22715" s="1"/>
  <c r="G168" i="22715"/>
  <c r="G172" i="22715" s="1"/>
  <c r="G169" i="22715"/>
  <c r="G173" i="22715" s="1"/>
  <c r="G239" i="22715"/>
  <c r="G238" i="22715"/>
  <c r="G186" i="22715"/>
  <c r="B147" i="4"/>
  <c r="H183" i="22715" s="1"/>
  <c r="G189" i="22715"/>
  <c r="G190" i="22715"/>
  <c r="G188" i="22715"/>
  <c r="A117" i="4"/>
  <c r="G124" i="22715" s="1"/>
  <c r="A118" i="4"/>
  <c r="G125" i="22715" s="1"/>
  <c r="A120" i="4"/>
  <c r="G121" i="22715" s="1"/>
  <c r="G107" i="22715"/>
  <c r="A105" i="4"/>
  <c r="G105" i="22715" s="1"/>
  <c r="G93" i="22715"/>
  <c r="A94" i="4"/>
  <c r="G96" i="22715" s="1"/>
  <c r="A93" i="4"/>
  <c r="G95" i="22715" s="1"/>
  <c r="G81" i="22715"/>
  <c r="G82" i="22715"/>
  <c r="G83" i="22715"/>
  <c r="G76" i="22715"/>
  <c r="G77" i="22715"/>
  <c r="G234" i="22715"/>
  <c r="G235" i="22715"/>
  <c r="G233" i="22715"/>
  <c r="G184" i="22715"/>
  <c r="G185" i="22715"/>
  <c r="G183" i="22715"/>
  <c r="B20" i="22715"/>
  <c r="C20" i="22715" s="1"/>
  <c r="A11" i="22715"/>
  <c r="A10" i="22715"/>
  <c r="A9" i="22715"/>
  <c r="A8" i="22715"/>
  <c r="A7" i="22715"/>
  <c r="A6" i="22715"/>
  <c r="C3" i="22715"/>
  <c r="D3" i="22715"/>
  <c r="B3" i="22715"/>
  <c r="B67" i="22715"/>
  <c r="B19" i="22715"/>
  <c r="C19" i="22715" s="1"/>
  <c r="B29" i="22715"/>
  <c r="C29" i="22715" s="1"/>
  <c r="B18" i="22715"/>
  <c r="C18" i="22715" s="1"/>
  <c r="B17" i="22715"/>
  <c r="C17" i="22715" s="1"/>
  <c r="B23" i="22715"/>
  <c r="C23" i="22715" s="1"/>
  <c r="B22" i="22715"/>
  <c r="C22" i="22715" s="1"/>
  <c r="F3" i="22715"/>
  <c r="EE17" i="3"/>
  <c r="EE16" i="3"/>
  <c r="DX17" i="3"/>
  <c r="DX16" i="3"/>
  <c r="DQ17" i="3"/>
  <c r="DQ16" i="3"/>
  <c r="DJ17" i="3"/>
  <c r="DJ16" i="3"/>
  <c r="DC17" i="3"/>
  <c r="DC16" i="3"/>
  <c r="CV17" i="3"/>
  <c r="CV16" i="3"/>
  <c r="EE45" i="3"/>
  <c r="EE44" i="3"/>
  <c r="EE42" i="3"/>
  <c r="EE41" i="3"/>
  <c r="EE40" i="3"/>
  <c r="EE39" i="3"/>
  <c r="EE32" i="3"/>
  <c r="ED31" i="3"/>
  <c r="ED30" i="3"/>
  <c r="EE28" i="3"/>
  <c r="EE13" i="3"/>
  <c r="DX45" i="3"/>
  <c r="DX44" i="3"/>
  <c r="DX42" i="3"/>
  <c r="DX41" i="3"/>
  <c r="DX40" i="3"/>
  <c r="DX39" i="3"/>
  <c r="DX32" i="3"/>
  <c r="DW31" i="3"/>
  <c r="DW30" i="3"/>
  <c r="DX28" i="3"/>
  <c r="DX13" i="3"/>
  <c r="DQ45" i="3"/>
  <c r="DQ44" i="3"/>
  <c r="DQ42" i="3"/>
  <c r="DQ41" i="3"/>
  <c r="DQ40" i="3"/>
  <c r="DQ39" i="3"/>
  <c r="DQ32" i="3"/>
  <c r="DP31" i="3"/>
  <c r="DP30" i="3"/>
  <c r="DQ28" i="3"/>
  <c r="DQ13" i="3"/>
  <c r="DJ45" i="3"/>
  <c r="DJ44" i="3"/>
  <c r="DJ42" i="3"/>
  <c r="DJ41" i="3"/>
  <c r="DJ40" i="3"/>
  <c r="DJ39" i="3"/>
  <c r="DJ32" i="3"/>
  <c r="DI31" i="3"/>
  <c r="DI30" i="3"/>
  <c r="DJ28" i="3"/>
  <c r="DJ13" i="3"/>
  <c r="DC45" i="3"/>
  <c r="DC44" i="3"/>
  <c r="DC42" i="3"/>
  <c r="DC41" i="3"/>
  <c r="DC40" i="3"/>
  <c r="DC39" i="3"/>
  <c r="DC32" i="3"/>
  <c r="DB31" i="3"/>
  <c r="DB30" i="3"/>
  <c r="DC28" i="3"/>
  <c r="DC13" i="3"/>
  <c r="CV42" i="3"/>
  <c r="CO42" i="3"/>
  <c r="CH42" i="3"/>
  <c r="CA42" i="3"/>
  <c r="BT42" i="3"/>
  <c r="BM42" i="3"/>
  <c r="BF42" i="3"/>
  <c r="AY42" i="3"/>
  <c r="AR42" i="3"/>
  <c r="AK42" i="3"/>
  <c r="AD42" i="3"/>
  <c r="W42" i="3"/>
  <c r="P42" i="3"/>
  <c r="I42" i="3"/>
  <c r="B60" i="3"/>
  <c r="B42" i="3"/>
  <c r="CV32" i="3"/>
  <c r="CU31" i="3"/>
  <c r="CU30" i="3"/>
  <c r="CV28" i="3"/>
  <c r="CO32" i="3"/>
  <c r="CN31" i="3"/>
  <c r="CN30" i="3"/>
  <c r="CO28" i="3"/>
  <c r="CH32" i="3"/>
  <c r="CG31" i="3"/>
  <c r="CG30" i="3"/>
  <c r="CH28" i="3"/>
  <c r="CA32" i="3"/>
  <c r="BZ31" i="3"/>
  <c r="BZ30" i="3"/>
  <c r="CA28" i="3"/>
  <c r="BT32" i="3"/>
  <c r="BS31" i="3"/>
  <c r="BS30" i="3"/>
  <c r="BT28" i="3"/>
  <c r="BM32" i="3"/>
  <c r="BL31" i="3"/>
  <c r="BL30" i="3"/>
  <c r="BM28" i="3"/>
  <c r="BF32" i="3"/>
  <c r="BE31" i="3"/>
  <c r="BE30" i="3"/>
  <c r="BF28" i="3"/>
  <c r="AY32" i="3"/>
  <c r="AX31" i="3"/>
  <c r="AX30" i="3"/>
  <c r="AY28" i="3"/>
  <c r="AR32" i="3"/>
  <c r="AQ31" i="3"/>
  <c r="AQ30" i="3"/>
  <c r="AR28" i="3"/>
  <c r="AK32" i="3"/>
  <c r="AJ31" i="3"/>
  <c r="AJ30" i="3"/>
  <c r="AK28" i="3"/>
  <c r="AD32" i="3"/>
  <c r="AC31" i="3"/>
  <c r="AC30" i="3"/>
  <c r="AD28" i="3"/>
  <c r="W32" i="3"/>
  <c r="V31" i="3"/>
  <c r="V30" i="3"/>
  <c r="W28" i="3"/>
  <c r="P32" i="3"/>
  <c r="O31" i="3"/>
  <c r="O30" i="3"/>
  <c r="P28" i="3"/>
  <c r="I32" i="3"/>
  <c r="H31" i="3"/>
  <c r="H30" i="3"/>
  <c r="I28" i="3"/>
  <c r="A31" i="3"/>
  <c r="A30" i="3"/>
  <c r="B32" i="3"/>
  <c r="B28" i="3"/>
  <c r="CV13" i="3"/>
  <c r="CO13" i="3"/>
  <c r="CH13" i="3"/>
  <c r="CA13" i="3"/>
  <c r="BT13" i="3"/>
  <c r="BM13" i="3"/>
  <c r="BF13" i="3"/>
  <c r="AY13" i="3"/>
  <c r="AR13" i="3"/>
  <c r="AK13" i="3"/>
  <c r="AD13" i="3"/>
  <c r="W13" i="3"/>
  <c r="P13" i="3"/>
  <c r="I13" i="3"/>
  <c r="B13" i="3"/>
  <c r="B54" i="3"/>
  <c r="CV45" i="3"/>
  <c r="CV44" i="3"/>
  <c r="CV41" i="3"/>
  <c r="CV40" i="3"/>
  <c r="CV39" i="3"/>
  <c r="CO45" i="3"/>
  <c r="CO44" i="3"/>
  <c r="CO41" i="3"/>
  <c r="CO40" i="3"/>
  <c r="CO39" i="3"/>
  <c r="CH45" i="3"/>
  <c r="CH44" i="3"/>
  <c r="CH41" i="3"/>
  <c r="CH40" i="3"/>
  <c r="CH39" i="3"/>
  <c r="CA45" i="3"/>
  <c r="CA44" i="3"/>
  <c r="CA41" i="3"/>
  <c r="CA40" i="3"/>
  <c r="CA39" i="3"/>
  <c r="BT45" i="3"/>
  <c r="BT44" i="3"/>
  <c r="BT41" i="3"/>
  <c r="BT40" i="3"/>
  <c r="BT39" i="3"/>
  <c r="BM45" i="3"/>
  <c r="BM44" i="3"/>
  <c r="BM41" i="3"/>
  <c r="BM40" i="3"/>
  <c r="BM39" i="3"/>
  <c r="BF45" i="3"/>
  <c r="BF44" i="3"/>
  <c r="BF41" i="3"/>
  <c r="BF40" i="3"/>
  <c r="BF39" i="3"/>
  <c r="AY45" i="3"/>
  <c r="AY44" i="3"/>
  <c r="AY41" i="3"/>
  <c r="AY40" i="3"/>
  <c r="AY39" i="3"/>
  <c r="AR45" i="3"/>
  <c r="AR44" i="3"/>
  <c r="AR41" i="3"/>
  <c r="AR40" i="3"/>
  <c r="AR39" i="3"/>
  <c r="AK45" i="3"/>
  <c r="AK44" i="3"/>
  <c r="AK41" i="3"/>
  <c r="AK40" i="3"/>
  <c r="AK39" i="3"/>
  <c r="AD45" i="3"/>
  <c r="AD44" i="3"/>
  <c r="AD41" i="3"/>
  <c r="AD40" i="3"/>
  <c r="AD39" i="3"/>
  <c r="W45" i="3"/>
  <c r="W44" i="3"/>
  <c r="W41" i="3"/>
  <c r="W40" i="3"/>
  <c r="W39" i="3"/>
  <c r="P45" i="3"/>
  <c r="P44" i="3"/>
  <c r="P41" i="3"/>
  <c r="P40" i="3"/>
  <c r="P39" i="3"/>
  <c r="I45" i="3"/>
  <c r="I44" i="3"/>
  <c r="I41" i="3"/>
  <c r="I40" i="3"/>
  <c r="I39" i="3"/>
  <c r="B49" i="3"/>
  <c r="B47" i="3"/>
  <c r="B45" i="3"/>
  <c r="B44" i="3"/>
  <c r="B41" i="3"/>
  <c r="B40" i="3"/>
  <c r="B39" i="3"/>
  <c r="CO17" i="3"/>
  <c r="CH17" i="3"/>
  <c r="CA17" i="3"/>
  <c r="BT17" i="3"/>
  <c r="BM17" i="3"/>
  <c r="BF17" i="3"/>
  <c r="AY17" i="3"/>
  <c r="AR17" i="3"/>
  <c r="AK17" i="3"/>
  <c r="AD17" i="3"/>
  <c r="W17" i="3"/>
  <c r="CO16" i="3"/>
  <c r="CH16" i="3"/>
  <c r="CA16" i="3"/>
  <c r="BT16" i="3"/>
  <c r="BM16" i="3"/>
  <c r="BF16" i="3"/>
  <c r="AY16" i="3"/>
  <c r="AR16" i="3"/>
  <c r="AK16" i="3"/>
  <c r="AD16" i="3"/>
  <c r="W16" i="3"/>
  <c r="P17" i="3"/>
  <c r="P16" i="3"/>
  <c r="I17" i="3"/>
  <c r="I16" i="3"/>
  <c r="F44" i="1"/>
  <c r="CA31" i="3" s="1"/>
  <c r="F43" i="1"/>
  <c r="EE30" i="3"/>
  <c r="F41" i="1"/>
  <c r="CO29" i="3" s="1"/>
  <c r="EE10" i="3"/>
  <c r="EE9" i="3"/>
  <c r="DX11" i="3"/>
  <c r="DX10" i="3"/>
  <c r="DX9" i="3"/>
  <c r="DQ11" i="3"/>
  <c r="DQ10" i="3"/>
  <c r="DJ11" i="3"/>
  <c r="DJ10" i="3"/>
  <c r="DJ9" i="3"/>
  <c r="DC10" i="3"/>
  <c r="DC9" i="3"/>
  <c r="CV30" i="3"/>
  <c r="CA29" i="3"/>
  <c r="BT30" i="3"/>
  <c r="BF30" i="3"/>
  <c r="AY30" i="3"/>
  <c r="AD30" i="3"/>
  <c r="W29" i="3"/>
  <c r="CV10" i="3"/>
  <c r="CO10" i="3"/>
  <c r="CH10" i="3"/>
  <c r="CA10" i="3"/>
  <c r="BT10" i="3"/>
  <c r="BM10" i="3"/>
  <c r="BF10" i="3"/>
  <c r="AY10" i="3"/>
  <c r="AR10" i="3"/>
  <c r="AK10" i="3"/>
  <c r="AD10" i="3"/>
  <c r="P10" i="3"/>
  <c r="I10" i="3"/>
  <c r="B10" i="3"/>
  <c r="B11" i="3"/>
  <c r="P11" i="3"/>
  <c r="AD11" i="3"/>
  <c r="AK11" i="3"/>
  <c r="AY11" i="3"/>
  <c r="BF11" i="3"/>
  <c r="BM11" i="3"/>
  <c r="CA11" i="3"/>
  <c r="CH11" i="3"/>
  <c r="CO11" i="3"/>
  <c r="CV9" i="3"/>
  <c r="CO9" i="3"/>
  <c r="CH9" i="3"/>
  <c r="BT9" i="3"/>
  <c r="BM9" i="3"/>
  <c r="BF9" i="3"/>
  <c r="AR9" i="3"/>
  <c r="AK9" i="3"/>
  <c r="AD9" i="3"/>
  <c r="I9" i="3"/>
  <c r="B9" i="3"/>
  <c r="A56" i="22714"/>
  <c r="A55" i="22714"/>
  <c r="F21" i="22714"/>
  <c r="E21" i="22714"/>
  <c r="A1" i="2"/>
  <c r="B30" i="2"/>
  <c r="B32" i="2"/>
  <c r="B29" i="2"/>
  <c r="B28" i="2"/>
  <c r="B27" i="2"/>
  <c r="B26" i="2"/>
  <c r="B40" i="4"/>
  <c r="A156" i="4" s="1"/>
  <c r="B58" i="4"/>
  <c r="A159" i="4" s="1"/>
  <c r="A141" i="4"/>
  <c r="B38" i="4"/>
  <c r="A136" i="4" s="1"/>
  <c r="B37" i="4"/>
  <c r="A135" i="4" s="1"/>
  <c r="B47" i="4"/>
  <c r="B43" i="4"/>
  <c r="B42" i="4"/>
  <c r="B30" i="4"/>
  <c r="B54" i="4"/>
  <c r="A102" i="4" s="1"/>
  <c r="A111" i="4" s="1"/>
  <c r="B52" i="4"/>
  <c r="A100" i="4" s="1"/>
  <c r="A110" i="4" s="1"/>
  <c r="A99" i="4"/>
  <c r="A101" i="4"/>
  <c r="A104" i="4"/>
  <c r="A98" i="4"/>
  <c r="A29" i="4"/>
  <c r="A124" i="4"/>
  <c r="A125" i="4"/>
  <c r="A126" i="4"/>
  <c r="A90" i="4"/>
  <c r="A28" i="4"/>
  <c r="B12" i="4"/>
  <c r="A1" i="4"/>
  <c r="B16" i="4"/>
  <c r="B15" i="4"/>
  <c r="B45" i="4"/>
  <c r="B39" i="4"/>
  <c r="B26" i="4"/>
  <c r="B29" i="4"/>
  <c r="B9" i="4"/>
  <c r="C81" i="4" s="1"/>
  <c r="B10" i="4"/>
  <c r="B8" i="4"/>
  <c r="C80" i="4" s="1"/>
  <c r="F74" i="1"/>
  <c r="D74" i="1"/>
  <c r="C22" i="1"/>
  <c r="B22" i="1"/>
  <c r="C74" i="1"/>
  <c r="B74" i="1"/>
  <c r="B1" i="1"/>
  <c r="EE17" i="22740"/>
  <c r="EE16" i="22740"/>
  <c r="DX17" i="22740"/>
  <c r="DX16" i="22740"/>
  <c r="DQ17" i="22740"/>
  <c r="DQ16" i="22740"/>
  <c r="DJ17" i="22740"/>
  <c r="DJ16" i="22740"/>
  <c r="DC17" i="22740"/>
  <c r="DC16" i="22740"/>
  <c r="CV17" i="22740"/>
  <c r="CV16" i="22740"/>
  <c r="EE45" i="22740"/>
  <c r="EE44" i="22740"/>
  <c r="EE42" i="22740"/>
  <c r="EE41" i="22740"/>
  <c r="EE40" i="22740"/>
  <c r="EE39" i="22740"/>
  <c r="EE32" i="22740"/>
  <c r="ED31" i="22740"/>
  <c r="ED30" i="22740"/>
  <c r="EE28" i="22740"/>
  <c r="EE13" i="22740"/>
  <c r="DX45" i="22740"/>
  <c r="DX44" i="22740"/>
  <c r="DX42" i="22740"/>
  <c r="DX41" i="22740"/>
  <c r="DX40" i="22740"/>
  <c r="DX39" i="22740"/>
  <c r="DX32" i="22740"/>
  <c r="DW31" i="22740"/>
  <c r="DW30" i="22740"/>
  <c r="DX28" i="22740"/>
  <c r="DX13" i="22740"/>
  <c r="DQ45" i="22740"/>
  <c r="DQ44" i="22740"/>
  <c r="DQ42" i="22740"/>
  <c r="DQ41" i="22740"/>
  <c r="DQ40" i="22740"/>
  <c r="DQ39" i="22740"/>
  <c r="DQ32" i="22740"/>
  <c r="DP31" i="22740"/>
  <c r="DP30" i="22740"/>
  <c r="DQ28" i="22740"/>
  <c r="DQ13" i="22740"/>
  <c r="DJ45" i="22740"/>
  <c r="DJ44" i="22740"/>
  <c r="DJ42" i="22740"/>
  <c r="DJ41" i="22740"/>
  <c r="DJ40" i="22740"/>
  <c r="DJ39" i="22740"/>
  <c r="DJ32" i="22740"/>
  <c r="DI31" i="22740"/>
  <c r="DI30" i="22740"/>
  <c r="DJ28" i="22740"/>
  <c r="DJ13" i="22740"/>
  <c r="DC45" i="22740"/>
  <c r="DC44" i="22740"/>
  <c r="DC42" i="22740"/>
  <c r="DC41" i="22740"/>
  <c r="DC40" i="22740"/>
  <c r="DC39" i="22740"/>
  <c r="DC32" i="22740"/>
  <c r="DB31" i="22740"/>
  <c r="DB30" i="22740"/>
  <c r="DC28" i="22740"/>
  <c r="DC13" i="22740"/>
  <c r="B47" i="22740"/>
  <c r="CV45" i="22740"/>
  <c r="CO45" i="22740"/>
  <c r="CH45" i="22740"/>
  <c r="CA45" i="22740"/>
  <c r="BT45" i="22740"/>
  <c r="BM45" i="22740"/>
  <c r="BF45" i="22740"/>
  <c r="AY45" i="22740"/>
  <c r="AR45" i="22740"/>
  <c r="AK45" i="22740"/>
  <c r="AD45" i="22740"/>
  <c r="W45" i="22740"/>
  <c r="P45" i="22740"/>
  <c r="I45" i="22740"/>
  <c r="B45" i="22740"/>
  <c r="CV44" i="22740"/>
  <c r="CO44" i="22740"/>
  <c r="CH44" i="22740"/>
  <c r="CA44" i="22740"/>
  <c r="BT44" i="22740"/>
  <c r="BM44" i="22740"/>
  <c r="BF44" i="22740"/>
  <c r="AY44" i="22740"/>
  <c r="AR44" i="22740"/>
  <c r="AK44" i="22740"/>
  <c r="AD44" i="22740"/>
  <c r="W44" i="22740"/>
  <c r="P44" i="22740"/>
  <c r="I44" i="22740"/>
  <c r="B44" i="22740"/>
  <c r="CV42" i="22740"/>
  <c r="CO42" i="22740"/>
  <c r="CH42" i="22740"/>
  <c r="CA42" i="22740"/>
  <c r="BT42" i="22740"/>
  <c r="BM42" i="22740"/>
  <c r="BF42" i="22740"/>
  <c r="AY42" i="22740"/>
  <c r="AR42" i="22740"/>
  <c r="AK42" i="22740"/>
  <c r="AD42" i="22740"/>
  <c r="W42" i="22740"/>
  <c r="P42" i="22740"/>
  <c r="I42" i="22740"/>
  <c r="B42" i="22740"/>
  <c r="CV41" i="22740"/>
  <c r="CO41" i="22740"/>
  <c r="CH41" i="22740"/>
  <c r="CA41" i="22740"/>
  <c r="BT41" i="22740"/>
  <c r="BM41" i="22740"/>
  <c r="BF41" i="22740"/>
  <c r="AY41" i="22740"/>
  <c r="AR41" i="22740"/>
  <c r="AK41" i="22740"/>
  <c r="AD41" i="22740"/>
  <c r="W41" i="22740"/>
  <c r="P41" i="22740"/>
  <c r="I41" i="22740"/>
  <c r="B41" i="22740"/>
  <c r="CV40" i="22740"/>
  <c r="CO40" i="22740"/>
  <c r="CH40" i="22740"/>
  <c r="CA40" i="22740"/>
  <c r="BT40" i="22740"/>
  <c r="BM40" i="22740"/>
  <c r="BF40" i="22740"/>
  <c r="AY40" i="22740"/>
  <c r="AR40" i="22740"/>
  <c r="AK40" i="22740"/>
  <c r="AD40" i="22740"/>
  <c r="W40" i="22740"/>
  <c r="P40" i="22740"/>
  <c r="I40" i="22740"/>
  <c r="B40" i="22740"/>
  <c r="CV39" i="22740"/>
  <c r="CO39" i="22740"/>
  <c r="CH39" i="22740"/>
  <c r="CA39" i="22740"/>
  <c r="BT39" i="22740"/>
  <c r="BM39" i="22740"/>
  <c r="BF39" i="22740"/>
  <c r="AY39" i="22740"/>
  <c r="AR39" i="22740"/>
  <c r="AK39" i="22740"/>
  <c r="AD39" i="22740"/>
  <c r="W39" i="22740"/>
  <c r="P39" i="22740"/>
  <c r="I39" i="22740"/>
  <c r="B39" i="22740"/>
  <c r="CV32" i="22740"/>
  <c r="CO32" i="22740"/>
  <c r="CH32" i="22740"/>
  <c r="CA32" i="22740"/>
  <c r="BT32" i="22740"/>
  <c r="BM32" i="22740"/>
  <c r="BF32" i="22740"/>
  <c r="AY32" i="22740"/>
  <c r="AR32" i="22740"/>
  <c r="AK32" i="22740"/>
  <c r="AD32" i="22740"/>
  <c r="W32" i="22740"/>
  <c r="P32" i="22740"/>
  <c r="I32" i="22740"/>
  <c r="B32" i="22740"/>
  <c r="CU31" i="22740"/>
  <c r="CN31" i="22740"/>
  <c r="CG31" i="22740"/>
  <c r="BZ31" i="22740"/>
  <c r="BS31" i="22740"/>
  <c r="BL31" i="22740"/>
  <c r="BE31" i="22740"/>
  <c r="AX31" i="22740"/>
  <c r="AQ31" i="22740"/>
  <c r="AJ31" i="22740"/>
  <c r="AC31" i="22740"/>
  <c r="V31" i="22740"/>
  <c r="O31" i="22740"/>
  <c r="H31" i="22740"/>
  <c r="A31" i="22740"/>
  <c r="CU30" i="22740"/>
  <c r="CN30" i="22740"/>
  <c r="CG30" i="22740"/>
  <c r="BZ30" i="22740"/>
  <c r="BS30" i="22740"/>
  <c r="BL30" i="22740"/>
  <c r="BE30" i="22740"/>
  <c r="AX30" i="22740"/>
  <c r="AQ30" i="22740"/>
  <c r="AJ30" i="22740"/>
  <c r="AC30" i="22740"/>
  <c r="V30" i="22740"/>
  <c r="O30" i="22740"/>
  <c r="H30" i="22740"/>
  <c r="A30" i="22740"/>
  <c r="CV28" i="22740"/>
  <c r="CO28" i="22740"/>
  <c r="CH28" i="22740"/>
  <c r="CA28" i="22740"/>
  <c r="BT28" i="22740"/>
  <c r="BM28" i="22740"/>
  <c r="BF28" i="22740"/>
  <c r="AY28" i="22740"/>
  <c r="AR28" i="22740"/>
  <c r="AK28" i="22740"/>
  <c r="AD28" i="22740"/>
  <c r="W28" i="22740"/>
  <c r="P28" i="22740"/>
  <c r="I28" i="22740"/>
  <c r="B28" i="22740"/>
  <c r="CO17" i="22740"/>
  <c r="CH17" i="22740"/>
  <c r="CA17" i="22740"/>
  <c r="BT17" i="22740"/>
  <c r="BM17" i="22740"/>
  <c r="BF17" i="22740"/>
  <c r="AY17" i="22740"/>
  <c r="AR17" i="22740"/>
  <c r="AK17" i="22740"/>
  <c r="AD17" i="22740"/>
  <c r="W17" i="22740"/>
  <c r="P17" i="22740"/>
  <c r="CO16" i="22740"/>
  <c r="CH16" i="22740"/>
  <c r="CA16" i="22740"/>
  <c r="BT16" i="22740"/>
  <c r="BM16" i="22740"/>
  <c r="BF16" i="22740"/>
  <c r="AY16" i="22740"/>
  <c r="AR16" i="22740"/>
  <c r="AK16" i="22740"/>
  <c r="AD16" i="22740"/>
  <c r="W16" i="22740"/>
  <c r="P16" i="22740"/>
  <c r="CV13" i="22740"/>
  <c r="CO13" i="22740"/>
  <c r="CH13" i="22740"/>
  <c r="CA13" i="22740"/>
  <c r="BT13" i="22740"/>
  <c r="BM13" i="22740"/>
  <c r="BF13" i="22740"/>
  <c r="AY13" i="22740"/>
  <c r="AR13" i="22740"/>
  <c r="AK13" i="22740"/>
  <c r="AD13" i="22740"/>
  <c r="W13" i="22740"/>
  <c r="P13" i="22740"/>
  <c r="I13" i="22740"/>
  <c r="B13" i="22740"/>
  <c r="B60" i="22740"/>
  <c r="B54" i="22740"/>
  <c r="B49" i="22740"/>
  <c r="F43" i="22738"/>
  <c r="CV31" i="22740" s="1"/>
  <c r="F42" i="22738"/>
  <c r="EE30" i="22740" s="1"/>
  <c r="F40" i="22738"/>
  <c r="P29" i="22740" s="1"/>
  <c r="D46" i="22738"/>
  <c r="BF11" i="22740" s="1"/>
  <c r="C46" i="22738"/>
  <c r="BM10" i="22740" s="1"/>
  <c r="B46" i="22738"/>
  <c r="EE9" i="22740" s="1"/>
  <c r="B1" i="22739"/>
  <c r="B1" i="22741" s="1"/>
  <c r="A56" i="22742"/>
  <c r="A55" i="22742"/>
  <c r="B32" i="22739"/>
  <c r="B30" i="22739"/>
  <c r="B29" i="22739"/>
  <c r="B28" i="22739"/>
  <c r="B27" i="22739"/>
  <c r="B26" i="22739"/>
  <c r="B41" i="22741"/>
  <c r="A157" i="22741" s="1"/>
  <c r="B40" i="22741"/>
  <c r="B39" i="22741"/>
  <c r="A137" i="22741" s="1"/>
  <c r="B38" i="22741"/>
  <c r="A136" i="22741" s="1"/>
  <c r="B31" i="22741"/>
  <c r="A30" i="22741"/>
  <c r="A29" i="22741"/>
  <c r="B27" i="22741"/>
  <c r="B16" i="22741"/>
  <c r="B15" i="22741"/>
  <c r="B12" i="22741"/>
  <c r="B59" i="22741"/>
  <c r="A160" i="22741" s="1"/>
  <c r="B55" i="22741"/>
  <c r="A103" i="22741" s="1"/>
  <c r="A112" i="22741" s="1"/>
  <c r="B53" i="22741"/>
  <c r="A101" i="22741" s="1"/>
  <c r="A111" i="22741" s="1"/>
  <c r="B48" i="22741"/>
  <c r="B46" i="22741"/>
  <c r="B44" i="22741"/>
  <c r="B43" i="22741"/>
  <c r="A142" i="22741"/>
  <c r="A95" i="22741"/>
  <c r="A94" i="22741"/>
  <c r="A127" i="22741"/>
  <c r="A126" i="22741"/>
  <c r="A125" i="22741"/>
  <c r="A121" i="22741"/>
  <c r="A119" i="22741"/>
  <c r="A118" i="22741"/>
  <c r="A106" i="22741"/>
  <c r="A114" i="22741" s="1"/>
  <c r="A110" i="22741"/>
  <c r="A105" i="22741"/>
  <c r="A102" i="22741"/>
  <c r="A100" i="22741"/>
  <c r="A99" i="22741"/>
  <c r="A91" i="22741"/>
  <c r="F73" i="22738"/>
  <c r="E73" i="22738"/>
  <c r="D73" i="22738"/>
  <c r="C73" i="22738"/>
  <c r="B73" i="22738"/>
  <c r="B21" i="22738"/>
  <c r="C21" i="22738"/>
  <c r="B1" i="22738"/>
  <c r="DC31" i="3"/>
  <c r="DJ29" i="3"/>
  <c r="DJ31" i="3"/>
  <c r="DX29" i="3"/>
  <c r="C11" i="22739"/>
  <c r="E11" i="22739" s="1"/>
  <c r="D37" i="22740"/>
  <c r="K37" i="22740"/>
  <c r="R37" i="22740"/>
  <c r="AF37" i="22740"/>
  <c r="E89" i="22738"/>
  <c r="D65" i="22738"/>
  <c r="EA11" i="22740" s="1"/>
  <c r="E78" i="22738"/>
  <c r="E92" i="22738" s="1"/>
  <c r="DQ9" i="22740"/>
  <c r="DX30" i="22740"/>
  <c r="D166" i="22738"/>
  <c r="AG37" i="22740" s="1"/>
  <c r="D36" i="22741"/>
  <c r="AF64" i="22740"/>
  <c r="B85" i="22738"/>
  <c r="BY9" i="22740" s="1"/>
  <c r="B8" i="22741"/>
  <c r="C81" i="22741" s="1"/>
  <c r="I9" i="22740"/>
  <c r="AY9" i="22740"/>
  <c r="CO9" i="22740"/>
  <c r="P10" i="22740"/>
  <c r="CH29" i="22740"/>
  <c r="W30" i="22740"/>
  <c r="AY30" i="22740"/>
  <c r="CA30" i="22740"/>
  <c r="AD31" i="22740"/>
  <c r="B11" i="22738"/>
  <c r="B5" i="22740" s="1"/>
  <c r="G91" i="22715"/>
  <c r="A113" i="4"/>
  <c r="L61" i="22740"/>
  <c r="DZ64" i="22740"/>
  <c r="D80" i="22738"/>
  <c r="D94" i="22738" s="1"/>
  <c r="D77" i="22738"/>
  <c r="D91" i="22738" s="1"/>
  <c r="AU61" i="22740"/>
  <c r="D79" i="22738"/>
  <c r="D93" i="22738" s="1"/>
  <c r="EH60" i="3"/>
  <c r="EA58" i="3"/>
  <c r="EB58" i="3" s="1"/>
  <c r="DT60" i="3"/>
  <c r="DM56" i="3"/>
  <c r="DM57" i="3"/>
  <c r="DN57" i="3" s="1"/>
  <c r="CY58" i="3"/>
  <c r="CZ58" i="3" s="1"/>
  <c r="CR60" i="3"/>
  <c r="CD56" i="3"/>
  <c r="CD58" i="3"/>
  <c r="CE58" i="3" s="1"/>
  <c r="BP56" i="3"/>
  <c r="BI56" i="3"/>
  <c r="BB57" i="3"/>
  <c r="BC57" i="3" s="1"/>
  <c r="BB58" i="3"/>
  <c r="BC58" i="3" s="1"/>
  <c r="AN56" i="3"/>
  <c r="E55" i="4"/>
  <c r="F55" i="4" s="1"/>
  <c r="AG56" i="3"/>
  <c r="Z60" i="3"/>
  <c r="S60" i="3"/>
  <c r="S58" i="3"/>
  <c r="T58" i="3" s="1"/>
  <c r="L58" i="3"/>
  <c r="M58" i="3" s="1"/>
  <c r="L56" i="3"/>
  <c r="D42" i="2"/>
  <c r="E42" i="2" s="1"/>
  <c r="D40" i="2"/>
  <c r="E40" i="2" s="1"/>
  <c r="D38" i="2"/>
  <c r="D37" i="2"/>
  <c r="D36" i="2"/>
  <c r="D129" i="2"/>
  <c r="E129" i="2" s="1"/>
  <c r="W11" i="22740"/>
  <c r="EH37" i="22740"/>
  <c r="CY37" i="22740"/>
  <c r="DJ11" i="22740"/>
  <c r="AD11" i="22740"/>
  <c r="B11" i="22740"/>
  <c r="CV11" i="22740"/>
  <c r="DQ11" i="22740"/>
  <c r="CO11" i="22740"/>
  <c r="CA31" i="22740"/>
  <c r="W31" i="22740"/>
  <c r="CH31" i="22740"/>
  <c r="AR11" i="22740"/>
  <c r="CH9" i="22740"/>
  <c r="E21" i="22742"/>
  <c r="CV9" i="22740"/>
  <c r="W9" i="22740"/>
  <c r="F21" i="22742"/>
  <c r="CV30" i="22740"/>
  <c r="EE10" i="22740"/>
  <c r="B28" i="4"/>
  <c r="B29" i="3"/>
  <c r="I30" i="3"/>
  <c r="P31" i="3"/>
  <c r="AD29" i="3"/>
  <c r="AK30" i="3"/>
  <c r="AR31" i="3"/>
  <c r="BF29" i="3"/>
  <c r="BM30" i="3"/>
  <c r="BT31" i="3"/>
  <c r="CH29" i="3"/>
  <c r="CV31" i="3"/>
  <c r="DC30" i="3"/>
  <c r="DJ30" i="3"/>
  <c r="EE29" i="3"/>
  <c r="EE31" i="3"/>
  <c r="I29" i="3"/>
  <c r="W31" i="3"/>
  <c r="AK29" i="3"/>
  <c r="AY31" i="3"/>
  <c r="BM29" i="3"/>
  <c r="C50" i="1"/>
  <c r="S10" i="3" s="1"/>
  <c r="D37" i="3"/>
  <c r="E58" i="3"/>
  <c r="F58" i="3" s="1"/>
  <c r="E56" i="4"/>
  <c r="F56" i="4" s="1"/>
  <c r="CC37" i="22740"/>
  <c r="AM37" i="22740"/>
  <c r="Y37" i="22740"/>
  <c r="F66" i="1"/>
  <c r="F55" i="1"/>
  <c r="E71" i="1"/>
  <c r="E69" i="1"/>
  <c r="F53" i="1"/>
  <c r="F62" i="1"/>
  <c r="F56" i="1"/>
  <c r="F65" i="1"/>
  <c r="F58" i="1"/>
  <c r="F59" i="1"/>
  <c r="F61" i="1"/>
  <c r="F60" i="1"/>
  <c r="F54" i="1"/>
  <c r="F63" i="1"/>
  <c r="F57" i="1"/>
  <c r="F64" i="1"/>
  <c r="AT12" i="3"/>
  <c r="BA12" i="3"/>
  <c r="BH12" i="3"/>
  <c r="BO12" i="3"/>
  <c r="BV12" i="3"/>
  <c r="CC12" i="3"/>
  <c r="CJ12" i="3"/>
  <c r="H38" i="22714" s="1"/>
  <c r="CQ12" i="3"/>
  <c r="H39" i="22714" s="1"/>
  <c r="CX12" i="3"/>
  <c r="DE12" i="3"/>
  <c r="DL12" i="3"/>
  <c r="H42" i="22714" s="1"/>
  <c r="DS12" i="3"/>
  <c r="DZ12" i="3"/>
  <c r="AM12" i="3"/>
  <c r="AD30" i="22740"/>
  <c r="DJ30" i="22740"/>
  <c r="B46" i="22715"/>
  <c r="C46" i="22715" s="1"/>
  <c r="B56" i="22714"/>
  <c r="B79" i="22738"/>
  <c r="B93" i="22738" s="1"/>
  <c r="EC9" i="22740" s="1"/>
  <c r="B81" i="22738"/>
  <c r="AW9" i="22740" s="1"/>
  <c r="B80" i="22738"/>
  <c r="B94" i="22738" s="1"/>
  <c r="EJ9" i="22740" s="1"/>
  <c r="B88" i="22738"/>
  <c r="CT9" i="22740" s="1"/>
  <c r="E79" i="22738"/>
  <c r="E93" i="22738" s="1"/>
  <c r="E85" i="22738"/>
  <c r="E82" i="22738"/>
  <c r="E76" i="22738"/>
  <c r="B78" i="22738"/>
  <c r="AB9" i="22740" s="1"/>
  <c r="B77" i="22738"/>
  <c r="U9" i="22740" s="1"/>
  <c r="B87" i="22738"/>
  <c r="CM9" i="22740" s="1"/>
  <c r="B82" i="22738"/>
  <c r="BD9" i="22740" s="1"/>
  <c r="B86" i="22738"/>
  <c r="CF9" i="22740" s="1"/>
  <c r="B76" i="22738"/>
  <c r="N9" i="22740" s="1"/>
  <c r="F86" i="1"/>
  <c r="BY11" i="3" s="1"/>
  <c r="G11" i="3"/>
  <c r="F81" i="1"/>
  <c r="AP11" i="3" s="1"/>
  <c r="F91" i="1"/>
  <c r="DH11" i="3" s="1"/>
  <c r="F83" i="1"/>
  <c r="BD11" i="3" s="1"/>
  <c r="F92" i="1"/>
  <c r="DO11" i="3" s="1"/>
  <c r="F89" i="1"/>
  <c r="CT11" i="3" s="1"/>
  <c r="F78" i="1"/>
  <c r="U11" i="3" s="1"/>
  <c r="F77" i="1"/>
  <c r="N11" i="3" s="1"/>
  <c r="F90" i="1"/>
  <c r="DA11" i="3" s="1"/>
  <c r="B9" i="22741"/>
  <c r="C82" i="22741" s="1"/>
  <c r="BF29" i="22740"/>
  <c r="BT31" i="22740"/>
  <c r="BM31" i="22740"/>
  <c r="P31" i="22740"/>
  <c r="DM37" i="22740"/>
  <c r="DX30" i="3"/>
  <c r="CA30" i="3"/>
  <c r="P30" i="3"/>
  <c r="B30" i="3"/>
  <c r="AR30" i="3"/>
  <c r="W30" i="3"/>
  <c r="CO30" i="3"/>
  <c r="DQ30" i="3"/>
  <c r="CH30" i="3"/>
  <c r="CY11" i="3"/>
  <c r="D70" i="1"/>
  <c r="E10" i="4" s="1"/>
  <c r="D71" i="1"/>
  <c r="G22" i="22714" s="1"/>
  <c r="G9" i="22740"/>
  <c r="B84" i="22738"/>
  <c r="BR9" i="22740" s="1"/>
  <c r="B89" i="22738"/>
  <c r="DA9" i="22740" s="1"/>
  <c r="B83" i="22738"/>
  <c r="CV29" i="3"/>
  <c r="AY29" i="3"/>
  <c r="B27" i="4"/>
  <c r="DC29" i="3"/>
  <c r="DQ29" i="3"/>
  <c r="BM31" i="3"/>
  <c r="AD31" i="3"/>
  <c r="F68" i="1"/>
  <c r="E103" i="2"/>
  <c r="E134" i="2" s="1"/>
  <c r="L57" i="3"/>
  <c r="M57" i="3" s="1"/>
  <c r="AN57" i="3"/>
  <c r="AO57" i="3" s="1"/>
  <c r="Z57" i="3"/>
  <c r="AA57" i="3" s="1"/>
  <c r="E60" i="3"/>
  <c r="BI57" i="3"/>
  <c r="BJ57" i="3" s="1"/>
  <c r="BP58" i="3"/>
  <c r="BQ58" i="3" s="1"/>
  <c r="EA57" i="3"/>
  <c r="EB57" i="3" s="1"/>
  <c r="EA56" i="3"/>
  <c r="BP57" i="3"/>
  <c r="BQ57" i="3" s="1"/>
  <c r="BP60" i="3"/>
  <c r="DT58" i="3"/>
  <c r="DU58" i="3" s="1"/>
  <c r="BW58" i="3"/>
  <c r="BX58" i="3" s="1"/>
  <c r="CK57" i="3"/>
  <c r="CL57" i="3" s="1"/>
  <c r="CK60" i="3"/>
  <c r="DM58" i="3"/>
  <c r="DN58" i="3" s="1"/>
  <c r="DM60" i="3"/>
  <c r="B94" i="1"/>
  <c r="EC9" i="3" s="1"/>
  <c r="AI9" i="3"/>
  <c r="G21" i="22714"/>
  <c r="P9" i="3"/>
  <c r="AY9" i="3"/>
  <c r="CA9" i="3"/>
  <c r="CV11" i="3"/>
  <c r="BT11" i="3"/>
  <c r="AR11" i="3"/>
  <c r="I11" i="3"/>
  <c r="DC11" i="3"/>
  <c r="C92" i="1"/>
  <c r="DO10" i="3" s="1"/>
  <c r="U10" i="3"/>
  <c r="C93" i="1"/>
  <c r="DV10" i="3" s="1"/>
  <c r="EG37" i="22740"/>
  <c r="DL37" i="22740"/>
  <c r="BA37" i="22740" l="1"/>
  <c r="AU37" i="22740"/>
  <c r="CA11" i="22740"/>
  <c r="B29" i="22741"/>
  <c r="BT9" i="22740"/>
  <c r="I31" i="3"/>
  <c r="AK31" i="3"/>
  <c r="BF31" i="3"/>
  <c r="CH31" i="3"/>
  <c r="P29" i="3"/>
  <c r="AR29" i="3"/>
  <c r="BT29" i="3"/>
  <c r="BO37" i="22740"/>
  <c r="AT37" i="22740"/>
  <c r="BV37" i="22740"/>
  <c r="G119" i="22715"/>
  <c r="EI54" i="3"/>
  <c r="DU54" i="3"/>
  <c r="DG54" i="3"/>
  <c r="CS54" i="3"/>
  <c r="CE54" i="3"/>
  <c r="BQ54" i="3"/>
  <c r="BC54" i="3"/>
  <c r="AO54" i="3"/>
  <c r="AH61" i="3"/>
  <c r="AA54" i="3"/>
  <c r="DX31" i="3"/>
  <c r="DQ31" i="3"/>
  <c r="B31" i="3"/>
  <c r="CO31" i="3"/>
  <c r="G1" i="22715"/>
  <c r="D111" i="2"/>
  <c r="E111" i="2" s="1"/>
  <c r="D30" i="2"/>
  <c r="D65" i="2" s="1"/>
  <c r="D131" i="2"/>
  <c r="E131" i="2" s="1"/>
  <c r="E77" i="22738"/>
  <c r="E91" i="22738" s="1"/>
  <c r="E86" i="22738"/>
  <c r="E80" i="22738"/>
  <c r="E94" i="22738" s="1"/>
  <c r="E87" i="22738"/>
  <c r="E83" i="22738"/>
  <c r="E81" i="22738"/>
  <c r="E84" i="22738"/>
  <c r="BP37" i="22740"/>
  <c r="BQ37" i="22740" s="1"/>
  <c r="B31" i="22740"/>
  <c r="DQ31" i="22740"/>
  <c r="B28" i="22741"/>
  <c r="AR10" i="22740"/>
  <c r="AK31" i="22740"/>
  <c r="BI37" i="22740"/>
  <c r="BJ37" i="22740" s="1"/>
  <c r="BM29" i="22740"/>
  <c r="CD37" i="22740"/>
  <c r="CE37" i="22740" s="1"/>
  <c r="E37" i="22740"/>
  <c r="E36" i="22741"/>
  <c r="F36" i="22741" s="1"/>
  <c r="AN37" i="22740"/>
  <c r="DJ31" i="22740"/>
  <c r="Z37" i="22740"/>
  <c r="EA37" i="22740"/>
  <c r="EB37" i="22740" s="1"/>
  <c r="CO29" i="22740"/>
  <c r="W29" i="22740"/>
  <c r="CO10" i="22740"/>
  <c r="W10" i="22740"/>
  <c r="DX10" i="22740"/>
  <c r="AD10" i="22740"/>
  <c r="CA29" i="22740"/>
  <c r="BW37" i="22740"/>
  <c r="BX37" i="22740" s="1"/>
  <c r="L37" i="22740"/>
  <c r="DJ29" i="22740"/>
  <c r="AY29" i="22740"/>
  <c r="CK37" i="22740"/>
  <c r="CL37" i="22740" s="1"/>
  <c r="B30" i="22741"/>
  <c r="DX31" i="22740"/>
  <c r="DT37" i="22740"/>
  <c r="BB37" i="22740"/>
  <c r="BC37" i="22740" s="1"/>
  <c r="CR37" i="22740"/>
  <c r="CS37" i="22740" s="1"/>
  <c r="S37" i="22740"/>
  <c r="T37" i="22740" s="1"/>
  <c r="DF37" i="22740"/>
  <c r="DQ29" i="22740"/>
  <c r="AR31" i="22740"/>
  <c r="B29" i="22740"/>
  <c r="BT10" i="22740"/>
  <c r="E27" i="2"/>
  <c r="DE64" i="22740"/>
  <c r="BV64" i="22740"/>
  <c r="D21" i="22738"/>
  <c r="P9" i="22740"/>
  <c r="BF30" i="22740"/>
  <c r="DQ30" i="22740"/>
  <c r="BT30" i="22740"/>
  <c r="B30" i="22740"/>
  <c r="AR30" i="22740"/>
  <c r="CA9" i="22740"/>
  <c r="AR9" i="22740"/>
  <c r="DJ9" i="22740"/>
  <c r="AD9" i="22740"/>
  <c r="DC9" i="22740"/>
  <c r="B10" i="22741"/>
  <c r="AY11" i="22740"/>
  <c r="BM11" i="22740"/>
  <c r="AK11" i="22740"/>
  <c r="P11" i="22740"/>
  <c r="EE11" i="22740"/>
  <c r="BT11" i="22740"/>
  <c r="CH11" i="22740"/>
  <c r="CO30" i="22740"/>
  <c r="BM30" i="22740"/>
  <c r="AK30" i="22740"/>
  <c r="I30" i="22740"/>
  <c r="I11" i="22740"/>
  <c r="BM9" i="22740"/>
  <c r="AK9" i="22740"/>
  <c r="G21" i="22742"/>
  <c r="DX11" i="22740"/>
  <c r="DX9" i="22740"/>
  <c r="BF9" i="22740"/>
  <c r="P30" i="22740"/>
  <c r="CH30" i="22740"/>
  <c r="CR61" i="22740"/>
  <c r="CS61" i="22740" s="1"/>
  <c r="E60" i="22741"/>
  <c r="F60" i="22741" s="1"/>
  <c r="B105" i="22741" s="1"/>
  <c r="D109" i="22739"/>
  <c r="E109" i="22739" s="1"/>
  <c r="E113" i="22739" s="1"/>
  <c r="E135" i="22739" s="1"/>
  <c r="B48" i="22738"/>
  <c r="L9" i="22740" s="1"/>
  <c r="D20" i="1"/>
  <c r="EE11" i="3"/>
  <c r="D175" i="1"/>
  <c r="E96" i="1"/>
  <c r="B12" i="22715" s="1"/>
  <c r="C12" i="22715" s="1"/>
  <c r="B9" i="22740"/>
  <c r="I10" i="22740"/>
  <c r="DC30" i="22740"/>
  <c r="CO31" i="22740"/>
  <c r="B2" i="22739"/>
  <c r="DQ10" i="22740"/>
  <c r="I29" i="22740"/>
  <c r="DC11" i="22740"/>
  <c r="AY10" i="22740"/>
  <c r="AO17" i="22740"/>
  <c r="D19" i="22738"/>
  <c r="C14" i="22739"/>
  <c r="E14" i="22739" s="1"/>
  <c r="D153" i="22739"/>
  <c r="F153" i="22739" s="1"/>
  <c r="F155" i="22739" s="1"/>
  <c r="B6" i="22743"/>
  <c r="C25" i="22738"/>
  <c r="E60" i="22743"/>
  <c r="E10" i="22740"/>
  <c r="E12" i="22740" s="1"/>
  <c r="DC29" i="22740"/>
  <c r="CA10" i="22740"/>
  <c r="DJ10" i="22740"/>
  <c r="CH10" i="22740"/>
  <c r="CV29" i="22740"/>
  <c r="AK29" i="22740"/>
  <c r="BF31" i="22740"/>
  <c r="AY31" i="22740"/>
  <c r="DC31" i="22740"/>
  <c r="AD29" i="22740"/>
  <c r="B10" i="22740"/>
  <c r="AK10" i="22740"/>
  <c r="DX29" i="22740"/>
  <c r="BT29" i="22740"/>
  <c r="DC10" i="22740"/>
  <c r="BF10" i="22740"/>
  <c r="AR29" i="22740"/>
  <c r="EE29" i="22740"/>
  <c r="I31" i="22740"/>
  <c r="EE31" i="22740"/>
  <c r="CV10" i="22740"/>
  <c r="AV54" i="3"/>
  <c r="CS61" i="3"/>
  <c r="R10" i="3"/>
  <c r="T10" i="3" s="1"/>
  <c r="F61" i="3"/>
  <c r="M61" i="3"/>
  <c r="T17" i="3"/>
  <c r="CZ61" i="3"/>
  <c r="EI16" i="3"/>
  <c r="CL61" i="3"/>
  <c r="R11" i="3"/>
  <c r="T29" i="3" s="1"/>
  <c r="K11" i="3"/>
  <c r="M29" i="3" s="1"/>
  <c r="AF9" i="3"/>
  <c r="AE9" i="3" s="1"/>
  <c r="BQ61" i="3"/>
  <c r="AO61" i="3"/>
  <c r="BJ56" i="3"/>
  <c r="CX55" i="3"/>
  <c r="CZ55" i="3" s="1"/>
  <c r="L44" i="3"/>
  <c r="M44" i="3" s="1"/>
  <c r="AU44" i="3"/>
  <c r="DF44" i="3"/>
  <c r="DG44" i="3" s="1"/>
  <c r="Z44" i="3"/>
  <c r="AA44" i="3" s="1"/>
  <c r="EA44" i="3"/>
  <c r="EB44" i="3" s="1"/>
  <c r="CD44" i="3"/>
  <c r="CE44" i="3" s="1"/>
  <c r="S44" i="3"/>
  <c r="T44" i="3" s="1"/>
  <c r="E44" i="3"/>
  <c r="F44" i="3" s="1"/>
  <c r="CY44" i="3"/>
  <c r="CZ44" i="3" s="1"/>
  <c r="DT44" i="3"/>
  <c r="DU44" i="3" s="1"/>
  <c r="CK44" i="3"/>
  <c r="CL44" i="3" s="1"/>
  <c r="E42" i="4"/>
  <c r="F42" i="4" s="1"/>
  <c r="CR44" i="3"/>
  <c r="CS44" i="3" s="1"/>
  <c r="AN44" i="3"/>
  <c r="AO44" i="3" s="1"/>
  <c r="BI44" i="3"/>
  <c r="BJ44" i="3" s="1"/>
  <c r="EH44" i="3"/>
  <c r="EI44" i="3" s="1"/>
  <c r="BP44" i="3"/>
  <c r="BQ44" i="3" s="1"/>
  <c r="BW44" i="3"/>
  <c r="BX44" i="3" s="1"/>
  <c r="BB44" i="3"/>
  <c r="BC44" i="3" s="1"/>
  <c r="DM44" i="3"/>
  <c r="DN44" i="3" s="1"/>
  <c r="AG44" i="3"/>
  <c r="AH44" i="3" s="1"/>
  <c r="CK39" i="3"/>
  <c r="CL39" i="3" s="1"/>
  <c r="EA39" i="3"/>
  <c r="EB39" i="3" s="1"/>
  <c r="EH39" i="3"/>
  <c r="EI39" i="3" s="1"/>
  <c r="S39" i="3"/>
  <c r="T39" i="3" s="1"/>
  <c r="L39" i="3"/>
  <c r="M39" i="3" s="1"/>
  <c r="CD39" i="3"/>
  <c r="CE39" i="3" s="1"/>
  <c r="BP39" i="3"/>
  <c r="BQ39" i="3" s="1"/>
  <c r="AN39" i="3"/>
  <c r="AO39" i="3" s="1"/>
  <c r="E37" i="4"/>
  <c r="F37" i="4" s="1"/>
  <c r="BI39" i="3"/>
  <c r="BJ39" i="3" s="1"/>
  <c r="CR39" i="3"/>
  <c r="CS39" i="3" s="1"/>
  <c r="DT39" i="3"/>
  <c r="DU39" i="3" s="1"/>
  <c r="E39" i="3"/>
  <c r="F39" i="3" s="1"/>
  <c r="BW39" i="3"/>
  <c r="BX39" i="3" s="1"/>
  <c r="CY39" i="3"/>
  <c r="CZ39" i="3" s="1"/>
  <c r="DM39" i="3"/>
  <c r="DN39" i="3" s="1"/>
  <c r="Z39" i="3"/>
  <c r="AA39" i="3" s="1"/>
  <c r="AG39" i="3"/>
  <c r="AH39" i="3" s="1"/>
  <c r="AU39" i="3"/>
  <c r="AV39" i="3" s="1"/>
  <c r="DF39" i="3"/>
  <c r="DG39" i="3" s="1"/>
  <c r="L40" i="3"/>
  <c r="M40" i="3" s="1"/>
  <c r="DM40" i="3"/>
  <c r="DN40" i="3" s="1"/>
  <c r="DF40" i="3"/>
  <c r="DG40" i="3" s="1"/>
  <c r="AN40" i="3"/>
  <c r="AO40" i="3" s="1"/>
  <c r="AU40" i="3"/>
  <c r="AV40" i="3" s="1"/>
  <c r="EH40" i="3"/>
  <c r="EI40" i="3" s="1"/>
  <c r="CK40" i="3"/>
  <c r="CL40" i="3" s="1"/>
  <c r="Z40" i="3"/>
  <c r="AA40" i="3" s="1"/>
  <c r="DT40" i="3"/>
  <c r="DU40" i="3" s="1"/>
  <c r="AG40" i="3"/>
  <c r="AH40" i="3" s="1"/>
  <c r="S40" i="3"/>
  <c r="T40" i="3" s="1"/>
  <c r="EA40" i="3"/>
  <c r="EB40" i="3" s="1"/>
  <c r="BP40" i="3"/>
  <c r="BQ40" i="3" s="1"/>
  <c r="BW40" i="3"/>
  <c r="BX40" i="3" s="1"/>
  <c r="BI40" i="3"/>
  <c r="BJ40" i="3" s="1"/>
  <c r="E38" i="4"/>
  <c r="CY40" i="3"/>
  <c r="CZ40" i="3" s="1"/>
  <c r="CR40" i="3"/>
  <c r="CS40" i="3" s="1"/>
  <c r="CD40" i="3"/>
  <c r="CE40" i="3" s="1"/>
  <c r="E40" i="3"/>
  <c r="F40" i="3" s="1"/>
  <c r="BB42" i="3"/>
  <c r="BI42" i="3"/>
  <c r="E40" i="4"/>
  <c r="CY42" i="3"/>
  <c r="CR42" i="3"/>
  <c r="S42" i="3"/>
  <c r="BP42" i="3"/>
  <c r="CK42" i="3"/>
  <c r="CD42" i="3"/>
  <c r="Z42" i="3"/>
  <c r="E42" i="3"/>
  <c r="DT42" i="3"/>
  <c r="L42" i="3"/>
  <c r="DM42" i="3"/>
  <c r="DF42" i="3"/>
  <c r="AN42" i="3"/>
  <c r="AU42" i="3"/>
  <c r="EH42" i="3"/>
  <c r="AG42" i="3"/>
  <c r="EA42" i="3"/>
  <c r="BW42" i="3"/>
  <c r="CK47" i="3"/>
  <c r="CD47" i="3"/>
  <c r="Z47" i="3"/>
  <c r="D109" i="2"/>
  <c r="E109" i="2" s="1"/>
  <c r="CR47" i="3"/>
  <c r="BI47" i="3"/>
  <c r="CY47" i="3"/>
  <c r="BW47" i="3"/>
  <c r="L47" i="3"/>
  <c r="DM47" i="3"/>
  <c r="DF47" i="3"/>
  <c r="AN47" i="3"/>
  <c r="E47" i="3"/>
  <c r="DT47" i="3"/>
  <c r="AG47" i="3"/>
  <c r="S47" i="3"/>
  <c r="EA47" i="3"/>
  <c r="BP47" i="3"/>
  <c r="AU47" i="3"/>
  <c r="EH47" i="3"/>
  <c r="BB47" i="3"/>
  <c r="E45" i="4"/>
  <c r="Z45" i="3"/>
  <c r="AA45" i="3" s="1"/>
  <c r="E45" i="3"/>
  <c r="F45" i="3" s="1"/>
  <c r="DF45" i="3"/>
  <c r="DG45" i="3" s="1"/>
  <c r="AN45" i="3"/>
  <c r="S45" i="3"/>
  <c r="T45" i="3" s="1"/>
  <c r="CK45" i="3"/>
  <c r="CL45" i="3" s="1"/>
  <c r="CR45" i="3"/>
  <c r="CS45" i="3" s="1"/>
  <c r="DM45" i="3"/>
  <c r="DN45" i="3" s="1"/>
  <c r="AG45" i="3"/>
  <c r="AH45" i="3" s="1"/>
  <c r="AU45" i="3"/>
  <c r="AV45" i="3" s="1"/>
  <c r="DT45" i="3"/>
  <c r="DU45" i="3" s="1"/>
  <c r="BP45" i="3"/>
  <c r="BQ45" i="3" s="1"/>
  <c r="BW45" i="3"/>
  <c r="BX45" i="3" s="1"/>
  <c r="BB45" i="3"/>
  <c r="BC45" i="3" s="1"/>
  <c r="BI45" i="3"/>
  <c r="BJ45" i="3" s="1"/>
  <c r="EH45" i="3"/>
  <c r="EI45" i="3" s="1"/>
  <c r="CY45" i="3"/>
  <c r="CZ45" i="3" s="1"/>
  <c r="CD45" i="3"/>
  <c r="CE45" i="3" s="1"/>
  <c r="L45" i="3"/>
  <c r="M45" i="3" s="1"/>
  <c r="E43" i="4"/>
  <c r="F43" i="4" s="1"/>
  <c r="EA45" i="3"/>
  <c r="EB45" i="3" s="1"/>
  <c r="CY41" i="3"/>
  <c r="D28" i="2"/>
  <c r="E28" i="2" s="1"/>
  <c r="AG41" i="3"/>
  <c r="BP41" i="3"/>
  <c r="DT41" i="3"/>
  <c r="CD41" i="3"/>
  <c r="EH41" i="3"/>
  <c r="E39" i="4"/>
  <c r="BI41" i="3"/>
  <c r="DM41" i="3"/>
  <c r="L41" i="3"/>
  <c r="AN41" i="3"/>
  <c r="BW41" i="3"/>
  <c r="EA41" i="3"/>
  <c r="CR41" i="3"/>
  <c r="S41" i="3"/>
  <c r="AU41" i="3"/>
  <c r="CK41" i="3"/>
  <c r="E41" i="3"/>
  <c r="DF41" i="3"/>
  <c r="Z41" i="3"/>
  <c r="DQ9" i="3"/>
  <c r="CR58" i="3"/>
  <c r="CS58" i="3" s="1"/>
  <c r="E57" i="4"/>
  <c r="F57" i="4" s="1"/>
  <c r="EA59" i="3"/>
  <c r="EB59" i="3" s="1"/>
  <c r="DM59" i="3"/>
  <c r="DN59" i="3" s="1"/>
  <c r="CY59" i="3"/>
  <c r="CZ59" i="3" s="1"/>
  <c r="CK59" i="3"/>
  <c r="CL59" i="3" s="1"/>
  <c r="BW59" i="3"/>
  <c r="BX59" i="3" s="1"/>
  <c r="BI59" i="3"/>
  <c r="BJ59" i="3" s="1"/>
  <c r="AU59" i="3"/>
  <c r="AV59" i="3" s="1"/>
  <c r="AG59" i="3"/>
  <c r="AH59" i="3" s="1"/>
  <c r="S59" i="3"/>
  <c r="T59" i="3" s="1"/>
  <c r="E59" i="3"/>
  <c r="F59" i="3" s="1"/>
  <c r="E158" i="2"/>
  <c r="F158" i="2" s="1"/>
  <c r="EH59" i="3"/>
  <c r="EI59" i="3" s="1"/>
  <c r="DT59" i="3"/>
  <c r="DU59" i="3" s="1"/>
  <c r="DF59" i="3"/>
  <c r="DG59" i="3" s="1"/>
  <c r="CR59" i="3"/>
  <c r="CS59" i="3" s="1"/>
  <c r="CD59" i="3"/>
  <c r="CE59" i="3" s="1"/>
  <c r="BP59" i="3"/>
  <c r="BQ59" i="3" s="1"/>
  <c r="BB59" i="3"/>
  <c r="BC59" i="3" s="1"/>
  <c r="AN59" i="3"/>
  <c r="AO59" i="3" s="1"/>
  <c r="Z59" i="3"/>
  <c r="AA59" i="3" s="1"/>
  <c r="L59" i="3"/>
  <c r="M59" i="3" s="1"/>
  <c r="B8" i="22715"/>
  <c r="C8" i="22715" s="1"/>
  <c r="C2" i="22714"/>
  <c r="A22" i="22714"/>
  <c r="I39" i="22714" s="1"/>
  <c r="C19" i="3"/>
  <c r="C41" i="3" s="1"/>
  <c r="F41" i="3" s="1"/>
  <c r="D11" i="4"/>
  <c r="Y10" i="3"/>
  <c r="X10" i="3" s="1"/>
  <c r="E8" i="22744"/>
  <c r="D13" i="22744" s="1"/>
  <c r="H13" i="22744" s="1"/>
  <c r="D153" i="2"/>
  <c r="F153" i="2" s="1"/>
  <c r="F155" i="2" s="1"/>
  <c r="C26" i="1"/>
  <c r="E97" i="1"/>
  <c r="BH53" i="3"/>
  <c r="C18" i="4"/>
  <c r="C39" i="4" s="1"/>
  <c r="CZ54" i="3"/>
  <c r="EB56" i="3"/>
  <c r="B50" i="1"/>
  <c r="EB54" i="3"/>
  <c r="BX54" i="3"/>
  <c r="AH56" i="3"/>
  <c r="DN56" i="3"/>
  <c r="T54" i="3"/>
  <c r="D96" i="1"/>
  <c r="BN19" i="3"/>
  <c r="BN41" i="3" s="1"/>
  <c r="AS19" i="3"/>
  <c r="AS41" i="3" s="1"/>
  <c r="DD19" i="3"/>
  <c r="DD41" i="3" s="1"/>
  <c r="DG41" i="3" s="1"/>
  <c r="AL19" i="3"/>
  <c r="AL41" i="3" s="1"/>
  <c r="F59" i="4"/>
  <c r="B104" i="4" s="1"/>
  <c r="M16" i="3"/>
  <c r="E26" i="2"/>
  <c r="E65" i="2"/>
  <c r="CP19" i="3"/>
  <c r="CP41" i="3" s="1"/>
  <c r="X19" i="3"/>
  <c r="X41" i="3" s="1"/>
  <c r="DR19" i="3"/>
  <c r="DR41" i="3" s="1"/>
  <c r="DK19" i="3"/>
  <c r="DK41" i="3" s="1"/>
  <c r="DN41" i="3" s="1"/>
  <c r="BG19" i="3"/>
  <c r="BG41" i="3" s="1"/>
  <c r="DY19" i="3"/>
  <c r="DY41" i="3" s="1"/>
  <c r="BU19" i="3"/>
  <c r="BU41" i="3" s="1"/>
  <c r="BX41" i="3" s="1"/>
  <c r="J19" i="3"/>
  <c r="J41" i="3" s="1"/>
  <c r="AZ19" i="3"/>
  <c r="AZ41" i="3" s="1"/>
  <c r="BC41" i="3" s="1"/>
  <c r="Q19" i="3"/>
  <c r="Q41" i="3" s="1"/>
  <c r="CI19" i="3"/>
  <c r="CI41" i="3" s="1"/>
  <c r="CB19" i="3"/>
  <c r="CB41" i="3" s="1"/>
  <c r="AE19" i="3"/>
  <c r="AE41" i="3" s="1"/>
  <c r="E19" i="2"/>
  <c r="G97" i="1"/>
  <c r="C51" i="1"/>
  <c r="EF19" i="3"/>
  <c r="EF41" i="3" s="1"/>
  <c r="EI41" i="3" s="1"/>
  <c r="CW19" i="3"/>
  <c r="CW41" i="3" s="1"/>
  <c r="CZ41" i="3" s="1"/>
  <c r="CZ37" i="22740"/>
  <c r="M61" i="22740"/>
  <c r="DD19" i="22740"/>
  <c r="DD41" i="22740" s="1"/>
  <c r="DE52" i="22740" s="1"/>
  <c r="AV37" i="22740"/>
  <c r="EA61" i="22740"/>
  <c r="EB61" i="22740" s="1"/>
  <c r="C53" i="22739"/>
  <c r="E53" i="22739" s="1"/>
  <c r="E59" i="22739" s="1"/>
  <c r="E61" i="22739" s="1"/>
  <c r="C89" i="22738"/>
  <c r="DA10" i="22740" s="1"/>
  <c r="C83" i="22738"/>
  <c r="BK10" i="22740" s="1"/>
  <c r="E61" i="22740"/>
  <c r="F61" i="22740" s="1"/>
  <c r="C79" i="22738"/>
  <c r="C93" i="22738" s="1"/>
  <c r="EC10" i="22740" s="1"/>
  <c r="C88" i="22738"/>
  <c r="CT10" i="22740" s="1"/>
  <c r="BB61" i="22740"/>
  <c r="BC61" i="22740" s="1"/>
  <c r="C36" i="22738"/>
  <c r="DM56" i="22740" s="1"/>
  <c r="DN56" i="22740" s="1"/>
  <c r="M37" i="22740"/>
  <c r="CD61" i="22740"/>
  <c r="CE61" i="22740" s="1"/>
  <c r="C76" i="22738"/>
  <c r="C87" i="22738"/>
  <c r="CM10" i="22740" s="1"/>
  <c r="B2" i="22741"/>
  <c r="C81" i="22738"/>
  <c r="AW10" i="22740" s="1"/>
  <c r="C77" i="22738"/>
  <c r="DF61" i="22740"/>
  <c r="DG61" i="22740" s="1"/>
  <c r="DT61" i="22740"/>
  <c r="DU61" i="22740" s="1"/>
  <c r="D59" i="22738"/>
  <c r="CK11" i="22740" s="1"/>
  <c r="BP61" i="22740"/>
  <c r="BQ61" i="22740" s="1"/>
  <c r="C37" i="22738"/>
  <c r="AN55" i="22740" s="1"/>
  <c r="CK61" i="22740"/>
  <c r="CL61" i="22740" s="1"/>
  <c r="C82" i="22738"/>
  <c r="BD10" i="22740" s="1"/>
  <c r="D45" i="22739"/>
  <c r="C80" i="22738"/>
  <c r="C78" i="22738"/>
  <c r="BW61" i="22740"/>
  <c r="BX61" i="22740" s="1"/>
  <c r="CY61" i="22740"/>
  <c r="CZ61" i="22740" s="1"/>
  <c r="AG61" i="22740"/>
  <c r="AH61" i="22740" s="1"/>
  <c r="C86" i="22738"/>
  <c r="CF10" i="22740" s="1"/>
  <c r="C57" i="22739"/>
  <c r="E57" i="22739" s="1"/>
  <c r="D61" i="22738"/>
  <c r="CY11" i="22740" s="1"/>
  <c r="S61" i="22740"/>
  <c r="T61" i="22740" s="1"/>
  <c r="DM61" i="22740"/>
  <c r="DN61" i="22740" s="1"/>
  <c r="C85" i="22738"/>
  <c r="BY10" i="22740" s="1"/>
  <c r="EH61" i="22740"/>
  <c r="EI61" i="22740" s="1"/>
  <c r="C84" i="22738"/>
  <c r="BR10" i="22740" s="1"/>
  <c r="AN61" i="22740"/>
  <c r="AO61" i="22740" s="1"/>
  <c r="BI61" i="22740"/>
  <c r="BJ61" i="22740" s="1"/>
  <c r="Z61" i="22740"/>
  <c r="AA61" i="22740" s="1"/>
  <c r="D54" i="22738"/>
  <c r="BB11" i="22740" s="1"/>
  <c r="D63" i="22738"/>
  <c r="DM11" i="22740" s="1"/>
  <c r="DL55" i="22740"/>
  <c r="CI19" i="22740"/>
  <c r="CI41" i="22740" s="1"/>
  <c r="CJ52" i="22740" s="1"/>
  <c r="BG19" i="22740"/>
  <c r="C19" i="22740"/>
  <c r="C41" i="22740" s="1"/>
  <c r="D52" i="22740" s="1"/>
  <c r="C18" i="22741"/>
  <c r="C40" i="22741" s="1"/>
  <c r="K40" i="22741" s="1"/>
  <c r="B91" i="22738"/>
  <c r="DO9" i="22740" s="1"/>
  <c r="B90" i="22738"/>
  <c r="DH9" i="22740" s="1"/>
  <c r="J19" i="22740"/>
  <c r="J41" i="22740" s="1"/>
  <c r="K52" i="22740" s="1"/>
  <c r="Z11" i="22740"/>
  <c r="L10" i="22740"/>
  <c r="C49" i="22738"/>
  <c r="CK53" i="22740"/>
  <c r="D63" i="22741"/>
  <c r="Y64" i="22740"/>
  <c r="CJ64" i="22740"/>
  <c r="CX64" i="22740"/>
  <c r="D64" i="22740"/>
  <c r="D53" i="22738"/>
  <c r="AU11" i="22740" s="1"/>
  <c r="D57" i="22738"/>
  <c r="BW11" i="22740" s="1"/>
  <c r="X19" i="22740"/>
  <c r="X41" i="22740" s="1"/>
  <c r="Y52" i="22740" s="1"/>
  <c r="D49" i="22738"/>
  <c r="S11" i="22740" s="1"/>
  <c r="BK9" i="22740"/>
  <c r="BO64" i="22740"/>
  <c r="R64" i="22740"/>
  <c r="K64" i="22740"/>
  <c r="BA64" i="22740"/>
  <c r="CC64" i="22740"/>
  <c r="D52" i="22738"/>
  <c r="AN11" i="22740" s="1"/>
  <c r="D56" i="22738"/>
  <c r="BP11" i="22740" s="1"/>
  <c r="CQ64" i="22740"/>
  <c r="D58" i="22738"/>
  <c r="CD11" i="22740" s="1"/>
  <c r="D60" i="22738"/>
  <c r="CR11" i="22740" s="1"/>
  <c r="D62" i="22738"/>
  <c r="DF11" i="22740" s="1"/>
  <c r="D64" i="22738"/>
  <c r="DT11" i="22740" s="1"/>
  <c r="D66" i="22738"/>
  <c r="EH11" i="22740" s="1"/>
  <c r="E11" i="22740"/>
  <c r="D85" i="22738"/>
  <c r="DL64" i="22740"/>
  <c r="DS64" i="22740"/>
  <c r="EG64" i="22740"/>
  <c r="AM64" i="22740"/>
  <c r="BH64" i="22740"/>
  <c r="DT59" i="22740"/>
  <c r="DU59" i="22740" s="1"/>
  <c r="D51" i="22738"/>
  <c r="AG11" i="22740" s="1"/>
  <c r="D55" i="22738"/>
  <c r="BI11" i="22740" s="1"/>
  <c r="D48" i="22738"/>
  <c r="L11" i="22740" s="1"/>
  <c r="A1" i="22741"/>
  <c r="A1" i="22743"/>
  <c r="EF19" i="22740"/>
  <c r="EF41" i="22740" s="1"/>
  <c r="EG52" i="22740" s="1"/>
  <c r="DK19" i="22740"/>
  <c r="DK41" i="22740" s="1"/>
  <c r="DL52" i="22740" s="1"/>
  <c r="BU19" i="22740"/>
  <c r="BU41" i="22740" s="1"/>
  <c r="BV52" i="22740" s="1"/>
  <c r="AL19" i="22740"/>
  <c r="AL41" i="22740" s="1"/>
  <c r="AM52" i="22740" s="1"/>
  <c r="AE19" i="22740"/>
  <c r="AE41" i="22740" s="1"/>
  <c r="AF52" i="22740" s="1"/>
  <c r="BN19" i="22740"/>
  <c r="BN41" i="22740" s="1"/>
  <c r="BO52" i="22740" s="1"/>
  <c r="DY19" i="22740"/>
  <c r="DY41" i="22740" s="1"/>
  <c r="DZ52" i="22740" s="1"/>
  <c r="AS19" i="22740"/>
  <c r="AS41" i="22740" s="1"/>
  <c r="AT52" i="22740" s="1"/>
  <c r="CP19" i="22740"/>
  <c r="CP41" i="22740" s="1"/>
  <c r="CQ52" i="22740" s="1"/>
  <c r="CB19" i="22740"/>
  <c r="CB41" i="22740" s="1"/>
  <c r="CC52" i="22740" s="1"/>
  <c r="AZ19" i="22740"/>
  <c r="AZ41" i="22740" s="1"/>
  <c r="BA52" i="22740" s="1"/>
  <c r="DR19" i="22740"/>
  <c r="DR41" i="22740" s="1"/>
  <c r="DS52" i="22740" s="1"/>
  <c r="CW19" i="22740"/>
  <c r="CW41" i="22740" s="1"/>
  <c r="CX52" i="22740" s="1"/>
  <c r="Q19" i="22740"/>
  <c r="Q41" i="22740" s="1"/>
  <c r="R52" i="22740" s="1"/>
  <c r="G92" i="22715"/>
  <c r="G118" i="22715"/>
  <c r="G78" i="22715"/>
  <c r="DN17" i="3"/>
  <c r="K44" i="22741"/>
  <c r="EI37" i="22740"/>
  <c r="D55" i="22740"/>
  <c r="AV61" i="22740"/>
  <c r="DG37" i="22740"/>
  <c r="EI17" i="22740"/>
  <c r="D54" i="22741"/>
  <c r="BC16" i="3"/>
  <c r="K9" i="3"/>
  <c r="BC17" i="3"/>
  <c r="AO16" i="3"/>
  <c r="DE55" i="22740"/>
  <c r="BX17" i="22740"/>
  <c r="BG41" i="22740"/>
  <c r="BH52" i="22740" s="1"/>
  <c r="BA55" i="22740"/>
  <c r="R53" i="3"/>
  <c r="B11" i="22715"/>
  <c r="C11" i="22715" s="1"/>
  <c r="T32" i="3"/>
  <c r="AO32" i="3"/>
  <c r="F79" i="1"/>
  <c r="F87" i="1"/>
  <c r="CF11" i="3" s="1"/>
  <c r="CF12" i="3" s="1"/>
  <c r="BV11" i="3"/>
  <c r="BU11" i="3" s="1"/>
  <c r="D97" i="1"/>
  <c r="BA11" i="3"/>
  <c r="AZ11" i="3" s="1"/>
  <c r="F95" i="1"/>
  <c r="EJ11" i="3" s="1"/>
  <c r="EG11" i="3" s="1"/>
  <c r="F80" i="1"/>
  <c r="AI11" i="3" s="1"/>
  <c r="AF11" i="3" s="1"/>
  <c r="AE11" i="3" s="1"/>
  <c r="F85" i="1"/>
  <c r="BR11" i="3" s="1"/>
  <c r="BO11" i="3" s="1"/>
  <c r="F94" i="1"/>
  <c r="EC11" i="3" s="1"/>
  <c r="EC12" i="3" s="1"/>
  <c r="F84" i="1"/>
  <c r="BK11" i="3" s="1"/>
  <c r="BK12" i="3" s="1"/>
  <c r="F88" i="1"/>
  <c r="CM11" i="3" s="1"/>
  <c r="CJ11" i="3" s="1"/>
  <c r="F93" i="1"/>
  <c r="DV11" i="3" s="1"/>
  <c r="DS11" i="3" s="1"/>
  <c r="DU32" i="3"/>
  <c r="C97" i="1"/>
  <c r="AT10" i="3"/>
  <c r="AS10" i="3" s="1"/>
  <c r="CT12" i="3"/>
  <c r="AP10" i="3"/>
  <c r="AP12" i="3" s="1"/>
  <c r="DE10" i="3"/>
  <c r="DD10" i="3" s="1"/>
  <c r="C96" i="1"/>
  <c r="N10" i="3"/>
  <c r="K10" i="3" s="1"/>
  <c r="J10" i="3" s="1"/>
  <c r="L10" i="3"/>
  <c r="G96" i="1"/>
  <c r="DD60" i="3" s="1"/>
  <c r="DF43" i="3" s="1"/>
  <c r="BW56" i="3"/>
  <c r="BX56" i="3" s="1"/>
  <c r="E54" i="4"/>
  <c r="F69" i="1"/>
  <c r="F70" i="1"/>
  <c r="CJ10" i="3"/>
  <c r="CI10" i="3" s="1"/>
  <c r="U9" i="3"/>
  <c r="U12" i="3" s="1"/>
  <c r="B93" i="1"/>
  <c r="DV9" i="3" s="1"/>
  <c r="B91" i="1"/>
  <c r="EG9" i="3"/>
  <c r="EF9" i="3" s="1"/>
  <c r="D11" i="22744"/>
  <c r="H11" i="22744" s="1"/>
  <c r="C14" i="2"/>
  <c r="E14" i="2" s="1"/>
  <c r="C11" i="2"/>
  <c r="E11" i="2" s="1"/>
  <c r="C10" i="2"/>
  <c r="E10" i="2" s="1"/>
  <c r="C10" i="22739"/>
  <c r="E10" i="22739" s="1"/>
  <c r="AP9" i="22740"/>
  <c r="B92" i="22738"/>
  <c r="DV9" i="22740" s="1"/>
  <c r="D86" i="22738"/>
  <c r="D84" i="22738"/>
  <c r="D89" i="22738"/>
  <c r="D83" i="22738"/>
  <c r="D76" i="22738"/>
  <c r="D82" i="22738"/>
  <c r="D78" i="22738"/>
  <c r="F75" i="22738"/>
  <c r="F94" i="22738" s="1"/>
  <c r="EJ11" i="22740" s="1"/>
  <c r="D87" i="22738"/>
  <c r="D88" i="22738"/>
  <c r="E90" i="22738"/>
  <c r="AI9" i="22740"/>
  <c r="BC61" i="3"/>
  <c r="E130" i="2"/>
  <c r="F71" i="1"/>
  <c r="B2" i="2"/>
  <c r="I42" i="22714"/>
  <c r="D22" i="1"/>
  <c r="C16" i="22739"/>
  <c r="E16" i="22739" s="1"/>
  <c r="C12" i="22739"/>
  <c r="E12" i="22739" s="1"/>
  <c r="E9" i="22739"/>
  <c r="DX5" i="22740"/>
  <c r="C2" i="22742"/>
  <c r="A22" i="22742"/>
  <c r="AN54" i="22740"/>
  <c r="AO54" i="22740" s="1"/>
  <c r="EH52" i="22740"/>
  <c r="D40" i="22739"/>
  <c r="E40" i="22739" s="1"/>
  <c r="AU53" i="22740"/>
  <c r="CR53" i="22740"/>
  <c r="D39" i="22739"/>
  <c r="E39" i="22739" s="1"/>
  <c r="EA52" i="22740"/>
  <c r="BI53" i="22740"/>
  <c r="EH53" i="22740"/>
  <c r="DU16" i="3"/>
  <c r="F16" i="4"/>
  <c r="CZ17" i="22740"/>
  <c r="E18" i="22739"/>
  <c r="CL17" i="22740"/>
  <c r="EB17" i="22740"/>
  <c r="DU17" i="22740"/>
  <c r="AV17" i="22740"/>
  <c r="BN60" i="3"/>
  <c r="BP43" i="3" s="1"/>
  <c r="CY60" i="3"/>
  <c r="CD60" i="3"/>
  <c r="DF60" i="3"/>
  <c r="AU56" i="3"/>
  <c r="AV56" i="3" s="1"/>
  <c r="DF56" i="3"/>
  <c r="DG56" i="3" s="1"/>
  <c r="AU58" i="3"/>
  <c r="AV58" i="3" s="1"/>
  <c r="BB56" i="3"/>
  <c r="BC56" i="3" s="1"/>
  <c r="E56" i="3"/>
  <c r="F56" i="3" s="1"/>
  <c r="L60" i="3"/>
  <c r="Z56" i="3"/>
  <c r="AA56" i="3" s="1"/>
  <c r="AG58" i="3"/>
  <c r="AH58" i="3" s="1"/>
  <c r="AU57" i="3"/>
  <c r="AV57" i="3" s="1"/>
  <c r="BB60" i="3"/>
  <c r="BW57" i="3"/>
  <c r="BX57" i="3" s="1"/>
  <c r="CK56" i="3"/>
  <c r="CL56" i="3" s="1"/>
  <c r="CY56" i="3"/>
  <c r="CZ56" i="3" s="1"/>
  <c r="DT57" i="3"/>
  <c r="DU57" i="3" s="1"/>
  <c r="EH57" i="3"/>
  <c r="EI57" i="3" s="1"/>
  <c r="EH58" i="3"/>
  <c r="EI58" i="3" s="1"/>
  <c r="CY57" i="3"/>
  <c r="CZ57" i="3" s="1"/>
  <c r="CD57" i="3"/>
  <c r="CE57" i="3" s="1"/>
  <c r="CK58" i="3"/>
  <c r="CL58" i="3" s="1"/>
  <c r="S57" i="3"/>
  <c r="T57" i="3" s="1"/>
  <c r="CR56" i="3"/>
  <c r="CS56" i="3" s="1"/>
  <c r="E58" i="4"/>
  <c r="AN60" i="3"/>
  <c r="E57" i="3"/>
  <c r="F57" i="3" s="1"/>
  <c r="S56" i="3"/>
  <c r="T56" i="3" s="1"/>
  <c r="Z58" i="3"/>
  <c r="AA58" i="3" s="1"/>
  <c r="AG60" i="3"/>
  <c r="AU60" i="3"/>
  <c r="BI58" i="3"/>
  <c r="BJ58" i="3" s="1"/>
  <c r="BW60" i="3"/>
  <c r="CR57" i="3"/>
  <c r="CS57" i="3" s="1"/>
  <c r="DF57" i="3"/>
  <c r="DG57" i="3" s="1"/>
  <c r="DT56" i="3"/>
  <c r="DU56" i="3" s="1"/>
  <c r="EH56" i="3"/>
  <c r="EI56" i="3" s="1"/>
  <c r="EA60" i="3"/>
  <c r="DG17" i="22740"/>
  <c r="CX55" i="22740"/>
  <c r="CS17" i="22740"/>
  <c r="CQ55" i="22740"/>
  <c r="CJ55" i="22740"/>
  <c r="CE17" i="22740"/>
  <c r="CC55" i="22740"/>
  <c r="BV55" i="22740"/>
  <c r="BQ17" i="22740"/>
  <c r="BO55" i="22740"/>
  <c r="BJ17" i="22740"/>
  <c r="BH55" i="22740"/>
  <c r="BC17" i="22740"/>
  <c r="DU37" i="22740"/>
  <c r="R55" i="22740"/>
  <c r="K55" i="22740"/>
  <c r="DZ55" i="22740"/>
  <c r="DS55" i="22740"/>
  <c r="D119" i="22739"/>
  <c r="E119" i="22739" s="1"/>
  <c r="D116" i="22739"/>
  <c r="E116" i="22739" s="1"/>
  <c r="D118" i="22739"/>
  <c r="E118" i="22739" s="1"/>
  <c r="D129" i="22739"/>
  <c r="E129" i="22739" s="1"/>
  <c r="D117" i="22739"/>
  <c r="E117" i="22739" s="1"/>
  <c r="D128" i="22739"/>
  <c r="E128" i="22739" s="1"/>
  <c r="DN17" i="22740"/>
  <c r="AF55" i="22740"/>
  <c r="Y55" i="22740"/>
  <c r="AH37" i="22740"/>
  <c r="K43" i="22741"/>
  <c r="AT55" i="22740"/>
  <c r="AM55" i="22740"/>
  <c r="DN37" i="22740"/>
  <c r="AA37" i="22740"/>
  <c r="EG55" i="22740"/>
  <c r="C39" i="22715"/>
  <c r="F16" i="22741"/>
  <c r="AO37" i="22740"/>
  <c r="C31" i="22739"/>
  <c r="C32" i="22739" s="1"/>
  <c r="F37" i="22740"/>
  <c r="C45" i="22739"/>
  <c r="H41" i="22714"/>
  <c r="DG32" i="3"/>
  <c r="BX32" i="3"/>
  <c r="BA10" i="3"/>
  <c r="AZ10" i="3" s="1"/>
  <c r="AM11" i="3"/>
  <c r="AO11" i="3" s="1"/>
  <c r="B1" i="4"/>
  <c r="C31" i="2"/>
  <c r="C32" i="2" s="1"/>
  <c r="E32" i="2" s="1"/>
  <c r="D11" i="3"/>
  <c r="F11" i="3" s="1"/>
  <c r="BV10" i="3"/>
  <c r="DN61" i="3"/>
  <c r="BD12" i="3"/>
  <c r="D10" i="3"/>
  <c r="C10" i="3" s="1"/>
  <c r="DG61" i="3"/>
  <c r="F15" i="4"/>
  <c r="EB16" i="3"/>
  <c r="DN16" i="3"/>
  <c r="N12" i="3"/>
  <c r="AW12" i="3"/>
  <c r="EI61" i="3"/>
  <c r="CE61" i="3"/>
  <c r="AA61" i="3"/>
  <c r="F32" i="3"/>
  <c r="D55" i="3"/>
  <c r="F55" i="3" s="1"/>
  <c r="AA16" i="3"/>
  <c r="M17" i="3"/>
  <c r="AV32" i="3"/>
  <c r="CE17" i="3"/>
  <c r="AF10" i="3"/>
  <c r="AE10" i="3" s="1"/>
  <c r="DG17" i="3"/>
  <c r="AH16" i="3"/>
  <c r="AH32" i="3"/>
  <c r="DL55" i="3"/>
  <c r="DN55" i="3" s="1"/>
  <c r="DE55" i="3"/>
  <c r="DG55" i="3" s="1"/>
  <c r="CZ17" i="3"/>
  <c r="CS17" i="3"/>
  <c r="CL16" i="3"/>
  <c r="CJ55" i="3"/>
  <c r="CL55" i="3" s="1"/>
  <c r="CE16" i="3"/>
  <c r="BQ17" i="3"/>
  <c r="BJ17" i="3"/>
  <c r="K43" i="4"/>
  <c r="M56" i="3"/>
  <c r="AO56" i="3"/>
  <c r="BQ56" i="3"/>
  <c r="CE56" i="3"/>
  <c r="EI17" i="3"/>
  <c r="G12" i="3"/>
  <c r="EG10" i="3"/>
  <c r="EF10" i="3" s="1"/>
  <c r="T16" i="3"/>
  <c r="CQ11" i="3"/>
  <c r="CS11" i="3" s="1"/>
  <c r="BX16" i="3"/>
  <c r="BQ16" i="3"/>
  <c r="BH55" i="3"/>
  <c r="BJ55" i="3" s="1"/>
  <c r="BC32" i="3"/>
  <c r="AV17" i="3"/>
  <c r="AH17" i="3"/>
  <c r="Y9" i="3"/>
  <c r="X9" i="3" s="1"/>
  <c r="H29" i="22714"/>
  <c r="I29" i="22714" s="1"/>
  <c r="BH9" i="3"/>
  <c r="E30" i="2"/>
  <c r="BO55" i="3"/>
  <c r="BQ55" i="3" s="1"/>
  <c r="F52" i="4"/>
  <c r="B100" i="4" s="1"/>
  <c r="B110" i="4" s="1"/>
  <c r="H102" i="22715" s="1"/>
  <c r="CL54" i="3"/>
  <c r="BV53" i="3"/>
  <c r="C53" i="2"/>
  <c r="E53" i="2" s="1"/>
  <c r="BY12" i="3"/>
  <c r="AO45" i="3"/>
  <c r="H195" i="22715"/>
  <c r="CQ55" i="3"/>
  <c r="CS55" i="3" s="1"/>
  <c r="BX17" i="3"/>
  <c r="BV55" i="3"/>
  <c r="BX55" i="3" s="1"/>
  <c r="BJ61" i="3"/>
  <c r="BA55" i="3"/>
  <c r="BC55" i="3" s="1"/>
  <c r="AV16" i="3"/>
  <c r="I28" i="22714"/>
  <c r="K55" i="3"/>
  <c r="M55" i="3" s="1"/>
  <c r="F54" i="3"/>
  <c r="T61" i="3"/>
  <c r="AV61" i="3"/>
  <c r="AT11" i="3"/>
  <c r="AV29" i="3" s="1"/>
  <c r="E52" i="2"/>
  <c r="DO12" i="3"/>
  <c r="CX10" i="3"/>
  <c r="CW10" i="3" s="1"/>
  <c r="CQ10" i="3"/>
  <c r="AF55" i="3"/>
  <c r="AH55" i="3" s="1"/>
  <c r="E52" i="22738"/>
  <c r="DL10" i="3"/>
  <c r="DA12" i="3"/>
  <c r="E49" i="22738"/>
  <c r="R12" i="22740" s="1"/>
  <c r="R9" i="22740" s="1"/>
  <c r="H34" i="22714"/>
  <c r="I34" i="22714" s="1"/>
  <c r="E48" i="22738"/>
  <c r="F48" i="22738" s="1"/>
  <c r="DL9" i="3"/>
  <c r="E63" i="22738"/>
  <c r="H36" i="22714"/>
  <c r="I36" i="22714" s="1"/>
  <c r="BV9" i="3"/>
  <c r="CZ16" i="3"/>
  <c r="CS16" i="3"/>
  <c r="C12" i="2"/>
  <c r="E12" i="2" s="1"/>
  <c r="E9" i="2"/>
  <c r="E37" i="2"/>
  <c r="EB61" i="3"/>
  <c r="CL17" i="3"/>
  <c r="BX61" i="3"/>
  <c r="AM55" i="3"/>
  <c r="AO55" i="3" s="1"/>
  <c r="R55" i="3"/>
  <c r="T55" i="3" s="1"/>
  <c r="E12" i="3"/>
  <c r="F16" i="3"/>
  <c r="E23" i="2"/>
  <c r="F10" i="3"/>
  <c r="EB17" i="3"/>
  <c r="DZ55" i="3"/>
  <c r="EB55" i="3" s="1"/>
  <c r="CC55" i="3"/>
  <c r="CE55" i="3" s="1"/>
  <c r="AT55" i="3"/>
  <c r="AV55" i="3" s="1"/>
  <c r="AO17" i="3"/>
  <c r="AA32" i="3"/>
  <c r="Y55" i="3"/>
  <c r="AA55" i="3" s="1"/>
  <c r="AA17" i="3"/>
  <c r="F17" i="3"/>
  <c r="DS10" i="3"/>
  <c r="H45" i="22714"/>
  <c r="EI32" i="3"/>
  <c r="H27" i="22714"/>
  <c r="M32" i="3"/>
  <c r="D116" i="2"/>
  <c r="E116" i="2" s="1"/>
  <c r="D119" i="2"/>
  <c r="E119" i="2" s="1"/>
  <c r="D117" i="2"/>
  <c r="E117" i="2" s="1"/>
  <c r="D128" i="2"/>
  <c r="E128" i="2" s="1"/>
  <c r="D53" i="4"/>
  <c r="F53" i="4" s="1"/>
  <c r="B101" i="4" s="1"/>
  <c r="K42" i="4"/>
  <c r="DZ53" i="3"/>
  <c r="EB53" i="3" s="1"/>
  <c r="H35" i="22714"/>
  <c r="BO9" i="3"/>
  <c r="BN9" i="3" s="1"/>
  <c r="DE11" i="3"/>
  <c r="E53" i="22738"/>
  <c r="F53" i="22738" s="1"/>
  <c r="E58" i="22738"/>
  <c r="E57" i="22738"/>
  <c r="F57" i="22738" s="1"/>
  <c r="E56" i="22738"/>
  <c r="CL32" i="3"/>
  <c r="CJ9" i="3"/>
  <c r="BH10" i="3"/>
  <c r="BJ32" i="3"/>
  <c r="AV44" i="3"/>
  <c r="H26" i="22714"/>
  <c r="D9" i="3"/>
  <c r="C44" i="2"/>
  <c r="E44" i="2" s="1"/>
  <c r="E29" i="2"/>
  <c r="DG16" i="3"/>
  <c r="BJ54" i="3"/>
  <c r="E38" i="2"/>
  <c r="DU61" i="3"/>
  <c r="AH54" i="3"/>
  <c r="E36" i="2"/>
  <c r="DN54" i="3"/>
  <c r="BJ16" i="3"/>
  <c r="E66" i="2"/>
  <c r="BC29" i="3"/>
  <c r="DZ10" i="3"/>
  <c r="EB32" i="3"/>
  <c r="H44" i="22714"/>
  <c r="CZ32" i="3"/>
  <c r="CX9" i="3"/>
  <c r="CC10" i="3"/>
  <c r="CE32" i="3"/>
  <c r="AG16" i="22740"/>
  <c r="BB16" i="22740"/>
  <c r="BC16" i="22740" s="1"/>
  <c r="BI16" i="22740"/>
  <c r="BJ16" i="22740" s="1"/>
  <c r="CY16" i="22740"/>
  <c r="CZ16" i="22740" s="1"/>
  <c r="EA16" i="22740"/>
  <c r="EB16" i="22740" s="1"/>
  <c r="E16" i="22740"/>
  <c r="BW16" i="22740"/>
  <c r="BX16" i="22740" s="1"/>
  <c r="L16" i="22740"/>
  <c r="DM16" i="22740"/>
  <c r="DN16" i="22740" s="1"/>
  <c r="EH16" i="22740"/>
  <c r="EI16" i="22740" s="1"/>
  <c r="CX12" i="22740"/>
  <c r="F61" i="22738"/>
  <c r="H40" i="22714"/>
  <c r="I40" i="22714" s="1"/>
  <c r="H43" i="22714"/>
  <c r="I43" i="22714" s="1"/>
  <c r="CQ9" i="3"/>
  <c r="CS32" i="3"/>
  <c r="DZ9" i="3"/>
  <c r="CC9" i="3"/>
  <c r="CK16" i="22740"/>
  <c r="CL16" i="22740" s="1"/>
  <c r="BP16" i="22740"/>
  <c r="BQ16" i="22740" s="1"/>
  <c r="E51" i="22738"/>
  <c r="E54" i="22738"/>
  <c r="E55" i="22738"/>
  <c r="E59" i="22738"/>
  <c r="E66" i="22738"/>
  <c r="E64" i="22738"/>
  <c r="E65" i="22738"/>
  <c r="E62" i="22738"/>
  <c r="E60" i="22738"/>
  <c r="E50" i="22738"/>
  <c r="E47" i="22738"/>
  <c r="DL11" i="3"/>
  <c r="DN32" i="3"/>
  <c r="H32" i="22714"/>
  <c r="I32" i="22714" s="1"/>
  <c r="AT9" i="3"/>
  <c r="CX11" i="3"/>
  <c r="DT16" i="22740"/>
  <c r="DU16" i="22740" s="1"/>
  <c r="CR16" i="22740"/>
  <c r="CS16" i="22740" s="1"/>
  <c r="AN16" i="22740"/>
  <c r="AO16" i="22740" s="1"/>
  <c r="AM9" i="3"/>
  <c r="H31" i="22714"/>
  <c r="AM10" i="3"/>
  <c r="H37" i="22714"/>
  <c r="BO10" i="3"/>
  <c r="BQ32" i="3"/>
  <c r="H33" i="22714"/>
  <c r="I33" i="22714" s="1"/>
  <c r="BA9" i="3"/>
  <c r="DU17" i="3"/>
  <c r="DS55" i="3"/>
  <c r="DU55" i="3" s="1"/>
  <c r="EG55" i="3"/>
  <c r="EI55" i="3" s="1"/>
  <c r="I91" i="22715"/>
  <c r="C67" i="22715"/>
  <c r="D51" i="22741"/>
  <c r="K39" i="22741"/>
  <c r="J195" i="22715"/>
  <c r="L60" i="22740"/>
  <c r="BB57" i="22740"/>
  <c r="BC57" i="22740" s="1"/>
  <c r="S57" i="22740"/>
  <c r="T57" i="22740" s="1"/>
  <c r="EA56" i="22740"/>
  <c r="EB56" i="22740" s="1"/>
  <c r="BP60" i="22740"/>
  <c r="A1" i="22739"/>
  <c r="A1" i="22740"/>
  <c r="A1" i="22742"/>
  <c r="CC52" i="3" l="1"/>
  <c r="CE52" i="3" s="1"/>
  <c r="CE41" i="3"/>
  <c r="K52" i="3"/>
  <c r="M52" i="3" s="1"/>
  <c r="M41" i="3"/>
  <c r="AM52" i="3"/>
  <c r="AO52" i="3" s="1"/>
  <c r="AO41" i="3"/>
  <c r="F30" i="4"/>
  <c r="CJ52" i="3"/>
  <c r="CL52" i="3" s="1"/>
  <c r="CL41" i="3"/>
  <c r="DS52" i="3"/>
  <c r="DU52" i="3" s="1"/>
  <c r="DU41" i="3"/>
  <c r="L52" i="22740"/>
  <c r="R52" i="3"/>
  <c r="T52" i="3" s="1"/>
  <c r="T41" i="3"/>
  <c r="EB41" i="3"/>
  <c r="Y52" i="3"/>
  <c r="AA52" i="3" s="1"/>
  <c r="AA41" i="3"/>
  <c r="M19" i="3"/>
  <c r="AT52" i="3"/>
  <c r="AV52" i="3" s="1"/>
  <c r="AV41" i="3"/>
  <c r="AF52" i="3"/>
  <c r="AH52" i="3" s="1"/>
  <c r="AH41" i="3"/>
  <c r="BH52" i="3"/>
  <c r="BJ52" i="3" s="1"/>
  <c r="BJ41" i="3"/>
  <c r="CQ52" i="3"/>
  <c r="CS52" i="3" s="1"/>
  <c r="CS41" i="3"/>
  <c r="BO52" i="3"/>
  <c r="BQ52" i="3" s="1"/>
  <c r="BQ41" i="3"/>
  <c r="E113" i="2"/>
  <c r="E135" i="2" s="1"/>
  <c r="BW56" i="22740"/>
  <c r="BX56" i="22740" s="1"/>
  <c r="AU56" i="22740"/>
  <c r="AV56" i="22740" s="1"/>
  <c r="AG60" i="22740"/>
  <c r="DT58" i="22740"/>
  <c r="DU58" i="22740" s="1"/>
  <c r="L55" i="22740"/>
  <c r="AG53" i="22740"/>
  <c r="CD53" i="22740"/>
  <c r="CY52" i="22740"/>
  <c r="DT60" i="22740"/>
  <c r="L53" i="22740"/>
  <c r="S52" i="22740"/>
  <c r="BW54" i="22740"/>
  <c r="BX54" i="22740" s="1"/>
  <c r="EA53" i="22740"/>
  <c r="F54" i="22741"/>
  <c r="B102" i="22741" s="1"/>
  <c r="E54" i="22741"/>
  <c r="AN57" i="22740"/>
  <c r="AO57" i="22740" s="1"/>
  <c r="EH60" i="22740"/>
  <c r="CK58" i="22740"/>
  <c r="CL58" i="22740" s="1"/>
  <c r="DF60" i="22740"/>
  <c r="AU57" i="22740"/>
  <c r="AV57" i="22740" s="1"/>
  <c r="E60" i="22740"/>
  <c r="CD56" i="22740"/>
  <c r="CE56" i="22740" s="1"/>
  <c r="BP56" i="22740"/>
  <c r="BQ56" i="22740" s="1"/>
  <c r="AU60" i="22740"/>
  <c r="CK60" i="22740"/>
  <c r="BI55" i="22740"/>
  <c r="BB54" i="22740"/>
  <c r="BC54" i="22740" s="1"/>
  <c r="CR55" i="22740"/>
  <c r="DF55" i="22740"/>
  <c r="DG55" i="22740" s="1"/>
  <c r="L54" i="22740"/>
  <c r="M54" i="22740" s="1"/>
  <c r="AU55" i="22740"/>
  <c r="BP55" i="22740"/>
  <c r="DT52" i="22740"/>
  <c r="EH55" i="22740"/>
  <c r="CK55" i="22740"/>
  <c r="EA54" i="22740"/>
  <c r="EB54" i="22740" s="1"/>
  <c r="BB52" i="22740"/>
  <c r="BC52" i="22740" s="1"/>
  <c r="E54" i="22740"/>
  <c r="F54" i="22740" s="1"/>
  <c r="D69" i="22739"/>
  <c r="E69" i="22739" s="1"/>
  <c r="E53" i="22741"/>
  <c r="F53" i="22741" s="1"/>
  <c r="B101" i="22741" s="1"/>
  <c r="B111" i="22741" s="1"/>
  <c r="J102" i="22715" s="1"/>
  <c r="AG52" i="22740"/>
  <c r="AH52" i="22740" s="1"/>
  <c r="CR54" i="22740"/>
  <c r="CS54" i="22740" s="1"/>
  <c r="DM52" i="22740"/>
  <c r="DN52" i="22740" s="1"/>
  <c r="E96" i="22738"/>
  <c r="L59" i="22740"/>
  <c r="M59" i="22740" s="1"/>
  <c r="CK59" i="22740"/>
  <c r="CL59" i="22740" s="1"/>
  <c r="E52" i="22741"/>
  <c r="BB55" i="22740"/>
  <c r="D43" i="22739"/>
  <c r="E43" i="22739" s="1"/>
  <c r="M52" i="22740"/>
  <c r="M10" i="3"/>
  <c r="R9" i="3"/>
  <c r="R43" i="3" s="1"/>
  <c r="R48" i="3" s="1"/>
  <c r="DZ11" i="3"/>
  <c r="EB29" i="3" s="1"/>
  <c r="Q11" i="3"/>
  <c r="AH11" i="3"/>
  <c r="Q10" i="3"/>
  <c r="DV12" i="3"/>
  <c r="AO19" i="22740"/>
  <c r="CD52" i="22740"/>
  <c r="D38" i="22739"/>
  <c r="E38" i="22739" s="1"/>
  <c r="E51" i="22741"/>
  <c r="F51" i="22741" s="1"/>
  <c r="DF52" i="22740"/>
  <c r="DG52" i="22740" s="1"/>
  <c r="Z54" i="22740"/>
  <c r="AA54" i="22740" s="1"/>
  <c r="D44" i="22739"/>
  <c r="E44" i="22739" s="1"/>
  <c r="AU52" i="22740"/>
  <c r="AV52" i="22740" s="1"/>
  <c r="E55" i="22740"/>
  <c r="F55" i="22740" s="1"/>
  <c r="Z52" i="22740"/>
  <c r="AA52" i="22740" s="1"/>
  <c r="AG54" i="22740"/>
  <c r="AH54" i="22740" s="1"/>
  <c r="EH54" i="22740"/>
  <c r="EI54" i="22740" s="1"/>
  <c r="CY55" i="22740"/>
  <c r="CZ55" i="22740" s="1"/>
  <c r="AG55" i="22740"/>
  <c r="AH55" i="22740" s="1"/>
  <c r="CD54" i="22740"/>
  <c r="CE54" i="22740" s="1"/>
  <c r="BP52" i="22740"/>
  <c r="D42" i="22739"/>
  <c r="CK52" i="22740"/>
  <c r="CD55" i="22740"/>
  <c r="CE55" i="22740" s="1"/>
  <c r="BW53" i="22740"/>
  <c r="DT53" i="22740"/>
  <c r="BP53" i="22740"/>
  <c r="S55" i="22740"/>
  <c r="T55" i="22740" s="1"/>
  <c r="E53" i="22740"/>
  <c r="BI54" i="22740"/>
  <c r="BJ54" i="22740" s="1"/>
  <c r="S53" i="22740"/>
  <c r="DF53" i="22740"/>
  <c r="CY53" i="22740"/>
  <c r="DM55" i="22740"/>
  <c r="DN55" i="22740" s="1"/>
  <c r="AN53" i="22740"/>
  <c r="BP54" i="22740"/>
  <c r="BQ54" i="22740" s="1"/>
  <c r="E52" i="22740"/>
  <c r="BI52" i="22740"/>
  <c r="BJ52" i="22740" s="1"/>
  <c r="DM53" i="22740"/>
  <c r="BB53" i="22740"/>
  <c r="AU54" i="22740"/>
  <c r="AV54" i="22740" s="1"/>
  <c r="D41" i="22739"/>
  <c r="E41" i="22739" s="1"/>
  <c r="DT55" i="22740"/>
  <c r="B49" i="22738"/>
  <c r="B50" i="22738" s="1"/>
  <c r="AN52" i="22740"/>
  <c r="AO52" i="22740" s="1"/>
  <c r="DZ53" i="22740"/>
  <c r="EB53" i="22740" s="1"/>
  <c r="EA55" i="22740"/>
  <c r="EB55" i="22740" s="1"/>
  <c r="Z55" i="22740"/>
  <c r="AA55" i="22740" s="1"/>
  <c r="DT54" i="22740"/>
  <c r="DU54" i="22740" s="1"/>
  <c r="BW55" i="22740"/>
  <c r="BX55" i="22740" s="1"/>
  <c r="S54" i="22740"/>
  <c r="T54" i="22740" s="1"/>
  <c r="DF54" i="22740"/>
  <c r="DG54" i="22740" s="1"/>
  <c r="CY54" i="22740"/>
  <c r="CZ54" i="22740" s="1"/>
  <c r="D36" i="22739"/>
  <c r="E36" i="22739" s="1"/>
  <c r="CK54" i="22740"/>
  <c r="CL54" i="22740" s="1"/>
  <c r="DM54" i="22740"/>
  <c r="DN54" i="22740" s="1"/>
  <c r="Z59" i="22740"/>
  <c r="AA59" i="22740" s="1"/>
  <c r="EH59" i="22740"/>
  <c r="EI59" i="22740" s="1"/>
  <c r="CY59" i="22740"/>
  <c r="CZ59" i="22740" s="1"/>
  <c r="I37" i="22714"/>
  <c r="I31" i="22714"/>
  <c r="DS9" i="3"/>
  <c r="DU31" i="3" s="1"/>
  <c r="I44" i="22714"/>
  <c r="BC11" i="3"/>
  <c r="DG19" i="3"/>
  <c r="I26" i="22714"/>
  <c r="EI30" i="3"/>
  <c r="I35" i="22714"/>
  <c r="I27" i="22714"/>
  <c r="I45" i="22714"/>
  <c r="CS19" i="3"/>
  <c r="T19" i="3"/>
  <c r="I41" i="22714"/>
  <c r="I38" i="22714"/>
  <c r="I30" i="22714"/>
  <c r="D14" i="22744"/>
  <c r="H14" i="22744" s="1"/>
  <c r="E132" i="2"/>
  <c r="E137" i="2" s="1"/>
  <c r="F30" i="3"/>
  <c r="J11" i="3"/>
  <c r="M11" i="3"/>
  <c r="T11" i="3"/>
  <c r="BC55" i="22740"/>
  <c r="F54" i="4"/>
  <c r="B102" i="4" s="1"/>
  <c r="B111" i="4" s="1"/>
  <c r="H103" i="22715" s="1"/>
  <c r="S37" i="3"/>
  <c r="T37" i="3" s="1"/>
  <c r="AN37" i="3"/>
  <c r="AO37" i="3" s="1"/>
  <c r="BW37" i="3"/>
  <c r="BX37" i="3" s="1"/>
  <c r="EA37" i="3"/>
  <c r="EB37" i="3" s="1"/>
  <c r="CR37" i="3"/>
  <c r="CS37" i="3" s="1"/>
  <c r="E37" i="3"/>
  <c r="F37" i="3" s="1"/>
  <c r="BB37" i="3"/>
  <c r="BC37" i="3" s="1"/>
  <c r="CD37" i="3"/>
  <c r="CE37" i="3" s="1"/>
  <c r="EH37" i="3"/>
  <c r="EI37" i="3" s="1"/>
  <c r="DF37" i="3"/>
  <c r="DG37" i="3" s="1"/>
  <c r="L37" i="3"/>
  <c r="M37" i="3" s="1"/>
  <c r="BI37" i="3"/>
  <c r="BJ37" i="3" s="1"/>
  <c r="CK37" i="3"/>
  <c r="CL37" i="3" s="1"/>
  <c r="AG37" i="3"/>
  <c r="AH37" i="3" s="1"/>
  <c r="DM37" i="3"/>
  <c r="DN37" i="3" s="1"/>
  <c r="Z37" i="3"/>
  <c r="AA37" i="3" s="1"/>
  <c r="E35" i="4"/>
  <c r="F35" i="4" s="1"/>
  <c r="BP37" i="3"/>
  <c r="BQ37" i="3" s="1"/>
  <c r="CY37" i="3"/>
  <c r="CZ37" i="3" s="1"/>
  <c r="AU37" i="3"/>
  <c r="AV37" i="3" s="1"/>
  <c r="DT37" i="3"/>
  <c r="DU37" i="3" s="1"/>
  <c r="BB60" i="22740"/>
  <c r="AN58" i="22740"/>
  <c r="AO58" i="22740" s="1"/>
  <c r="CR56" i="22740"/>
  <c r="CS56" i="22740" s="1"/>
  <c r="CD60" i="22740"/>
  <c r="E58" i="22740"/>
  <c r="F58" i="22740" s="1"/>
  <c r="CY58" i="22740"/>
  <c r="CZ58" i="22740" s="1"/>
  <c r="BI56" i="22740"/>
  <c r="BJ56" i="22740" s="1"/>
  <c r="EA60" i="22740"/>
  <c r="DN19" i="22740"/>
  <c r="BW57" i="22740"/>
  <c r="BX57" i="22740" s="1"/>
  <c r="E57" i="22740"/>
  <c r="F57" i="22740" s="1"/>
  <c r="BP59" i="22740"/>
  <c r="BQ59" i="22740" s="1"/>
  <c r="AG59" i="22740"/>
  <c r="AH59" i="22740" s="1"/>
  <c r="E58" i="22741"/>
  <c r="F58" i="22741" s="1"/>
  <c r="D9" i="22743"/>
  <c r="H9" i="22743" s="1"/>
  <c r="D12" i="22743"/>
  <c r="H12" i="22743" s="1"/>
  <c r="D11" i="22743"/>
  <c r="H11" i="22743" s="1"/>
  <c r="Z57" i="22740"/>
  <c r="AA57" i="22740" s="1"/>
  <c r="CY56" i="22740"/>
  <c r="CZ56" i="22740" s="1"/>
  <c r="DM57" i="22740"/>
  <c r="DN57" i="22740" s="1"/>
  <c r="E59" i="22741"/>
  <c r="L56" i="22740"/>
  <c r="M56" i="22740" s="1"/>
  <c r="DF56" i="22740"/>
  <c r="DG56" i="22740" s="1"/>
  <c r="CY60" i="22740"/>
  <c r="CY57" i="22740"/>
  <c r="CZ57" i="22740" s="1"/>
  <c r="K53" i="22740"/>
  <c r="M53" i="22740" s="1"/>
  <c r="CK57" i="22740"/>
  <c r="CL57" i="22740" s="1"/>
  <c r="CR57" i="22740"/>
  <c r="CS57" i="22740" s="1"/>
  <c r="CD59" i="22740"/>
  <c r="CE59" i="22740" s="1"/>
  <c r="AU59" i="22740"/>
  <c r="AV59" i="22740" s="1"/>
  <c r="BP58" i="22740"/>
  <c r="BQ58" i="22740" s="1"/>
  <c r="D64" i="22743"/>
  <c r="H64" i="22743" s="1"/>
  <c r="D62" i="22743"/>
  <c r="H62" i="22743" s="1"/>
  <c r="D63" i="22743"/>
  <c r="H63" i="22743" s="1"/>
  <c r="D61" i="22743"/>
  <c r="EI19" i="22740"/>
  <c r="AO55" i="22740"/>
  <c r="CJ53" i="22740"/>
  <c r="CL53" i="22740" s="1"/>
  <c r="DU55" i="22740"/>
  <c r="F18" i="4"/>
  <c r="F39" i="4"/>
  <c r="D51" i="4"/>
  <c r="F51" i="4" s="1"/>
  <c r="DL52" i="3"/>
  <c r="DN52" i="3" s="1"/>
  <c r="BJ30" i="3"/>
  <c r="AH30" i="3"/>
  <c r="CZ19" i="3"/>
  <c r="D52" i="3"/>
  <c r="F52" i="3" s="1"/>
  <c r="EI19" i="3"/>
  <c r="CC11" i="3"/>
  <c r="CE29" i="3" s="1"/>
  <c r="BH11" i="3"/>
  <c r="BG11" i="3" s="1"/>
  <c r="AH31" i="3"/>
  <c r="EJ12" i="3"/>
  <c r="CJ53" i="3"/>
  <c r="CL53" i="3" s="1"/>
  <c r="BA52" i="3"/>
  <c r="BC52" i="3" s="1"/>
  <c r="DZ52" i="3"/>
  <c r="EB52" i="3" s="1"/>
  <c r="BJ19" i="3"/>
  <c r="Y43" i="3"/>
  <c r="DN19" i="3"/>
  <c r="M31" i="3"/>
  <c r="EG52" i="3"/>
  <c r="EI52" i="3" s="1"/>
  <c r="M9" i="3"/>
  <c r="M12" i="3" s="1"/>
  <c r="L12" i="3" s="1"/>
  <c r="BX11" i="3"/>
  <c r="CX52" i="3"/>
  <c r="CZ52" i="3" s="1"/>
  <c r="D53" i="3"/>
  <c r="F53" i="3" s="1"/>
  <c r="J9" i="3"/>
  <c r="EI31" i="3"/>
  <c r="F29" i="3"/>
  <c r="M30" i="3"/>
  <c r="AH29" i="3"/>
  <c r="AV19" i="3"/>
  <c r="K43" i="3"/>
  <c r="DS53" i="3"/>
  <c r="DU53" i="3" s="1"/>
  <c r="T30" i="3"/>
  <c r="S9" i="3"/>
  <c r="B51" i="1"/>
  <c r="CB60" i="3"/>
  <c r="CD43" i="3" s="1"/>
  <c r="CE19" i="3"/>
  <c r="BQ19" i="3"/>
  <c r="BX19" i="3"/>
  <c r="AH19" i="3"/>
  <c r="F19" i="3"/>
  <c r="EB19" i="3"/>
  <c r="AO19" i="3"/>
  <c r="F145" i="2"/>
  <c r="F143" i="2"/>
  <c r="F147" i="2"/>
  <c r="F144" i="2"/>
  <c r="F148" i="2"/>
  <c r="AA19" i="3"/>
  <c r="BC19" i="3"/>
  <c r="CL19" i="3"/>
  <c r="DU19" i="3"/>
  <c r="Z10" i="3"/>
  <c r="AA10" i="3" s="1"/>
  <c r="C52" i="1"/>
  <c r="CX53" i="3"/>
  <c r="CZ53" i="3" s="1"/>
  <c r="DU19" i="22740"/>
  <c r="AV55" i="22740"/>
  <c r="R53" i="22740"/>
  <c r="T53" i="22740" s="1"/>
  <c r="CS19" i="22740"/>
  <c r="BJ19" i="22740"/>
  <c r="BV53" i="22740"/>
  <c r="BO53" i="22740"/>
  <c r="BJ55" i="22740"/>
  <c r="CS55" i="22740"/>
  <c r="DS53" i="22740"/>
  <c r="CL19" i="22740"/>
  <c r="BC19" i="22740"/>
  <c r="AM53" i="22740"/>
  <c r="CZ52" i="22740"/>
  <c r="F52" i="22740"/>
  <c r="E63" i="22739"/>
  <c r="DU52" i="22740"/>
  <c r="EI52" i="22740"/>
  <c r="EB19" i="22740"/>
  <c r="DF58" i="22740"/>
  <c r="DG58" i="22740" s="1"/>
  <c r="DF57" i="22740"/>
  <c r="DG57" i="22740" s="1"/>
  <c r="DM58" i="22740"/>
  <c r="DN58" i="22740" s="1"/>
  <c r="BI60" i="22740"/>
  <c r="EA58" i="22740"/>
  <c r="EB58" i="22740" s="1"/>
  <c r="S58" i="22740"/>
  <c r="T58" i="22740" s="1"/>
  <c r="Z56" i="22740"/>
  <c r="AA56" i="22740" s="1"/>
  <c r="S60" i="22740"/>
  <c r="BW60" i="22740"/>
  <c r="BI57" i="22740"/>
  <c r="BJ57" i="22740" s="1"/>
  <c r="E57" i="22741"/>
  <c r="F57" i="22741" s="1"/>
  <c r="E56" i="22741"/>
  <c r="F56" i="22741" s="1"/>
  <c r="AG57" i="22740"/>
  <c r="AH57" i="22740" s="1"/>
  <c r="CK56" i="22740"/>
  <c r="CL56" i="22740" s="1"/>
  <c r="CR58" i="22740"/>
  <c r="CS58" i="22740" s="1"/>
  <c r="EH57" i="22740"/>
  <c r="EI57" i="22740" s="1"/>
  <c r="DT57" i="22740"/>
  <c r="DU57" i="22740" s="1"/>
  <c r="L58" i="22740"/>
  <c r="M58" i="22740" s="1"/>
  <c r="AT53" i="22740"/>
  <c r="AV53" i="22740" s="1"/>
  <c r="CZ19" i="22740"/>
  <c r="E45" i="22739"/>
  <c r="CC53" i="22740"/>
  <c r="CE53" i="22740" s="1"/>
  <c r="Z60" i="22740"/>
  <c r="Z58" i="22740"/>
  <c r="AA58" i="22740" s="1"/>
  <c r="AF53" i="22740"/>
  <c r="AH53" i="22740" s="1"/>
  <c r="AN59" i="22740"/>
  <c r="AO59" i="22740" s="1"/>
  <c r="CR59" i="22740"/>
  <c r="CS59" i="22740" s="1"/>
  <c r="E59" i="22740"/>
  <c r="F59" i="22740" s="1"/>
  <c r="BI59" i="22740"/>
  <c r="BJ59" i="22740" s="1"/>
  <c r="DM59" i="22740"/>
  <c r="DN59" i="22740" s="1"/>
  <c r="CD58" i="22740"/>
  <c r="CE58" i="22740" s="1"/>
  <c r="AI10" i="22740"/>
  <c r="L57" i="22740"/>
  <c r="M57" i="22740" s="1"/>
  <c r="AN56" i="22740"/>
  <c r="AO56" i="22740" s="1"/>
  <c r="EH58" i="22740"/>
  <c r="EI58" i="22740" s="1"/>
  <c r="EH56" i="22740"/>
  <c r="EI56" i="22740" s="1"/>
  <c r="BP57" i="22740"/>
  <c r="BQ57" i="22740" s="1"/>
  <c r="DT56" i="22740"/>
  <c r="DU56" i="22740" s="1"/>
  <c r="EA57" i="22740"/>
  <c r="EB57" i="22740" s="1"/>
  <c r="S56" i="22740"/>
  <c r="T56" i="22740" s="1"/>
  <c r="AN60" i="22740"/>
  <c r="AU58" i="22740"/>
  <c r="AV58" i="22740" s="1"/>
  <c r="CR60" i="22740"/>
  <c r="E56" i="22740"/>
  <c r="F56" i="22740" s="1"/>
  <c r="BW58" i="22740"/>
  <c r="BX58" i="22740" s="1"/>
  <c r="CD57" i="22740"/>
  <c r="CE57" i="22740" s="1"/>
  <c r="AG58" i="22740"/>
  <c r="AH58" i="22740" s="1"/>
  <c r="BI58" i="22740"/>
  <c r="BJ58" i="22740" s="1"/>
  <c r="E55" i="22741"/>
  <c r="F55" i="22741" s="1"/>
  <c r="B103" i="22741" s="1"/>
  <c r="BB56" i="22740"/>
  <c r="BC56" i="22740" s="1"/>
  <c r="BQ19" i="22740"/>
  <c r="BQ55" i="22740"/>
  <c r="AG56" i="22740"/>
  <c r="AH56" i="22740" s="1"/>
  <c r="BB58" i="22740"/>
  <c r="BC58" i="22740" s="1"/>
  <c r="DM60" i="22740"/>
  <c r="E157" i="22739"/>
  <c r="F157" i="22739" s="1"/>
  <c r="BB59" i="22740"/>
  <c r="BC59" i="22740" s="1"/>
  <c r="DF59" i="22740"/>
  <c r="DG59" i="22740" s="1"/>
  <c r="S59" i="22740"/>
  <c r="T59" i="22740" s="1"/>
  <c r="BW59" i="22740"/>
  <c r="BX59" i="22740" s="1"/>
  <c r="EA59" i="22740"/>
  <c r="EB59" i="22740" s="1"/>
  <c r="E120" i="22739"/>
  <c r="E136" i="22739" s="1"/>
  <c r="D37" i="22739"/>
  <c r="E37" i="22739" s="1"/>
  <c r="U10" i="22740"/>
  <c r="R10" i="22740" s="1"/>
  <c r="T31" i="22740" s="1"/>
  <c r="C91" i="22738"/>
  <c r="DO10" i="22740" s="1"/>
  <c r="N10" i="22740"/>
  <c r="C90" i="22738"/>
  <c r="AB10" i="22740"/>
  <c r="C92" i="22738"/>
  <c r="DV10" i="22740" s="1"/>
  <c r="BQ52" i="22740"/>
  <c r="C94" i="22738"/>
  <c r="EJ10" i="22740" s="1"/>
  <c r="EJ12" i="22740" s="1"/>
  <c r="AP10" i="22740"/>
  <c r="Z53" i="22740"/>
  <c r="BW52" i="22740"/>
  <c r="BX52" i="22740" s="1"/>
  <c r="CR52" i="22740"/>
  <c r="CS52" i="22740" s="1"/>
  <c r="B95" i="22738"/>
  <c r="G8" i="22741" s="1"/>
  <c r="B96" i="22738"/>
  <c r="DL53" i="22740"/>
  <c r="DN53" i="22740" s="1"/>
  <c r="CQ53" i="22740"/>
  <c r="CS53" i="22740" s="1"/>
  <c r="EB52" i="22740"/>
  <c r="C50" i="22738"/>
  <c r="S10" i="22740"/>
  <c r="BA53" i="22740"/>
  <c r="D70" i="22738"/>
  <c r="G22" i="22742" s="1"/>
  <c r="D69" i="22738"/>
  <c r="E10" i="22741" s="1"/>
  <c r="BX19" i="22740"/>
  <c r="DE53" i="22740"/>
  <c r="CX53" i="22740"/>
  <c r="C13" i="22739"/>
  <c r="E13" i="22739" s="1"/>
  <c r="E17" i="22739" s="1"/>
  <c r="T52" i="22740"/>
  <c r="F147" i="22739"/>
  <c r="F145" i="22739"/>
  <c r="F144" i="22739"/>
  <c r="F143" i="22739"/>
  <c r="F148" i="22739"/>
  <c r="M55" i="22740"/>
  <c r="CL55" i="22740"/>
  <c r="CL52" i="22740"/>
  <c r="K39" i="4"/>
  <c r="D50" i="4"/>
  <c r="F50" i="4" s="1"/>
  <c r="B98" i="4" s="1"/>
  <c r="EI55" i="22740"/>
  <c r="D53" i="22740"/>
  <c r="BH53" i="22740"/>
  <c r="BJ53" i="22740" s="1"/>
  <c r="EI29" i="3"/>
  <c r="EI11" i="3"/>
  <c r="K53" i="3"/>
  <c r="M53" i="3" s="1"/>
  <c r="AF43" i="3"/>
  <c r="AE12" i="3"/>
  <c r="CE52" i="22740"/>
  <c r="H17" i="22744"/>
  <c r="H32" i="22744" s="1"/>
  <c r="C11" i="3"/>
  <c r="BX29" i="3"/>
  <c r="CM12" i="3"/>
  <c r="BR12" i="3"/>
  <c r="AI12" i="3"/>
  <c r="F97" i="1"/>
  <c r="F96" i="1"/>
  <c r="G10" i="4" s="1"/>
  <c r="D10" i="4" s="1"/>
  <c r="C10" i="4" s="1"/>
  <c r="AB11" i="3"/>
  <c r="EG43" i="3"/>
  <c r="G9" i="4"/>
  <c r="D9" i="4" s="1"/>
  <c r="C9" i="4" s="1"/>
  <c r="B10" i="22715"/>
  <c r="C10" i="22715" s="1"/>
  <c r="DK60" i="3"/>
  <c r="DM43" i="3" s="1"/>
  <c r="EF60" i="3"/>
  <c r="BG60" i="3"/>
  <c r="BI43" i="3" s="1"/>
  <c r="Q60" i="3"/>
  <c r="C60" i="3"/>
  <c r="E43" i="3" s="1"/>
  <c r="CW60" i="3"/>
  <c r="CY43" i="3" s="1"/>
  <c r="CI60" i="3"/>
  <c r="CK43" i="3" s="1"/>
  <c r="AE60" i="3"/>
  <c r="C58" i="4"/>
  <c r="E41" i="4" s="1"/>
  <c r="DR60" i="3"/>
  <c r="DT43" i="3" s="1"/>
  <c r="DY60" i="3"/>
  <c r="EA43" i="3" s="1"/>
  <c r="AS60" i="3"/>
  <c r="AU43" i="3" s="1"/>
  <c r="J60" i="3"/>
  <c r="BU60" i="3"/>
  <c r="BW43" i="3" s="1"/>
  <c r="AZ60" i="3"/>
  <c r="BB43" i="3" s="1"/>
  <c r="X60" i="3"/>
  <c r="CP60" i="3"/>
  <c r="CR43" i="3" s="1"/>
  <c r="AL60" i="3"/>
  <c r="AN43" i="3" s="1"/>
  <c r="B15" i="22715"/>
  <c r="C15" i="22715" s="1"/>
  <c r="EF11" i="3"/>
  <c r="EF12" i="3" s="1"/>
  <c r="BV12" i="22740"/>
  <c r="BV10" i="22740" s="1"/>
  <c r="DK10" i="3"/>
  <c r="CP10" i="3"/>
  <c r="AV11" i="3"/>
  <c r="AS11" i="3"/>
  <c r="DH9" i="3"/>
  <c r="B97" i="1"/>
  <c r="T31" i="3"/>
  <c r="B96" i="1"/>
  <c r="C13" i="2"/>
  <c r="E13" i="2" s="1"/>
  <c r="E17" i="2" s="1"/>
  <c r="E24" i="2" s="1"/>
  <c r="I102" i="22715"/>
  <c r="F88" i="22738"/>
  <c r="CT11" i="22740" s="1"/>
  <c r="CT12" i="22740" s="1"/>
  <c r="F89" i="22738"/>
  <c r="DA11" i="22740" s="1"/>
  <c r="DA12" i="22740" s="1"/>
  <c r="F76" i="22738"/>
  <c r="F81" i="22738"/>
  <c r="AW11" i="22740" s="1"/>
  <c r="AW12" i="22740" s="1"/>
  <c r="F79" i="22738"/>
  <c r="AI11" i="22740" s="1"/>
  <c r="F83" i="22738"/>
  <c r="BK11" i="22740" s="1"/>
  <c r="BK12" i="22740" s="1"/>
  <c r="F80" i="22738"/>
  <c r="AP11" i="22740" s="1"/>
  <c r="F87" i="22738"/>
  <c r="CM11" i="22740" s="1"/>
  <c r="CM12" i="22740" s="1"/>
  <c r="G11" i="22740"/>
  <c r="G12" i="22740" s="1"/>
  <c r="F91" i="22738"/>
  <c r="DO11" i="22740" s="1"/>
  <c r="F90" i="22738"/>
  <c r="DH11" i="22740" s="1"/>
  <c r="F82" i="22738"/>
  <c r="BD11" i="22740" s="1"/>
  <c r="BD12" i="22740" s="1"/>
  <c r="F93" i="22738"/>
  <c r="EC11" i="22740" s="1"/>
  <c r="EC12" i="22740" s="1"/>
  <c r="F85" i="22738"/>
  <c r="BY11" i="22740" s="1"/>
  <c r="BY12" i="22740" s="1"/>
  <c r="F92" i="22738"/>
  <c r="DV11" i="22740" s="1"/>
  <c r="F77" i="22738"/>
  <c r="U11" i="22740" s="1"/>
  <c r="D90" i="22738"/>
  <c r="F86" i="22738"/>
  <c r="CF11" i="22740" s="1"/>
  <c r="CF12" i="22740" s="1"/>
  <c r="F84" i="22738"/>
  <c r="BR11" i="22740" s="1"/>
  <c r="BR12" i="22740" s="1"/>
  <c r="F78" i="22738"/>
  <c r="AB11" i="22740" s="1"/>
  <c r="D92" i="22738"/>
  <c r="E95" i="22738"/>
  <c r="N11" i="22740"/>
  <c r="E130" i="22739"/>
  <c r="E132" i="22739" s="1"/>
  <c r="E137" i="22739" s="1"/>
  <c r="E42" i="22739"/>
  <c r="B135" i="4"/>
  <c r="Y53" i="22740"/>
  <c r="AA53" i="22740" s="1"/>
  <c r="K38" i="22741"/>
  <c r="J194" i="22715"/>
  <c r="D52" i="22741"/>
  <c r="AT53" i="3"/>
  <c r="AV53" i="3" s="1"/>
  <c r="EG53" i="3"/>
  <c r="EI53" i="3" s="1"/>
  <c r="H194" i="22715"/>
  <c r="C46" i="22739"/>
  <c r="E31" i="2"/>
  <c r="E34" i="2" s="1"/>
  <c r="BU10" i="3"/>
  <c r="BA53" i="3"/>
  <c r="BC53" i="3" s="1"/>
  <c r="AL11" i="3"/>
  <c r="AO29" i="3"/>
  <c r="T42" i="3"/>
  <c r="AM53" i="3"/>
  <c r="AO53" i="3" s="1"/>
  <c r="B137" i="4"/>
  <c r="H28" i="22742"/>
  <c r="I28" i="22742" s="1"/>
  <c r="DF16" i="22740"/>
  <c r="DG16" i="22740" s="1"/>
  <c r="DG19" i="22740" s="1"/>
  <c r="CD16" i="22740"/>
  <c r="CE16" i="22740" s="1"/>
  <c r="CE19" i="22740" s="1"/>
  <c r="E15" i="22741"/>
  <c r="F15" i="22741" s="1"/>
  <c r="F18" i="22741" s="1"/>
  <c r="CP11" i="3"/>
  <c r="DE53" i="3"/>
  <c r="DG53" i="3" s="1"/>
  <c r="BQ31" i="3"/>
  <c r="CC53" i="3"/>
  <c r="CE53" i="3" s="1"/>
  <c r="F38" i="4"/>
  <c r="B136" i="4" s="1"/>
  <c r="F49" i="22738"/>
  <c r="CS29" i="3"/>
  <c r="BG9" i="3"/>
  <c r="Y53" i="3"/>
  <c r="K38" i="4"/>
  <c r="E59" i="2"/>
  <c r="E61" i="2" s="1"/>
  <c r="E63" i="2" s="1"/>
  <c r="AA30" i="3"/>
  <c r="AA31" i="3"/>
  <c r="E120" i="2"/>
  <c r="E136" i="2" s="1"/>
  <c r="BU9" i="3"/>
  <c r="DK9" i="3"/>
  <c r="DN31" i="3"/>
  <c r="AM12" i="22740"/>
  <c r="F52" i="22738"/>
  <c r="BO53" i="3"/>
  <c r="BQ53" i="3" s="1"/>
  <c r="Q9" i="22740"/>
  <c r="C9" i="3"/>
  <c r="BX30" i="3"/>
  <c r="F9" i="3"/>
  <c r="F12" i="3" s="1"/>
  <c r="F14" i="3" s="1"/>
  <c r="D26" i="22714" s="1"/>
  <c r="K12" i="22740"/>
  <c r="DN30" i="3"/>
  <c r="F63" i="22738"/>
  <c r="DL12" i="22740"/>
  <c r="DL43" i="3"/>
  <c r="BX31" i="3"/>
  <c r="BV43" i="3"/>
  <c r="AT12" i="22740"/>
  <c r="H32" i="22742" s="1"/>
  <c r="I32" i="22742" s="1"/>
  <c r="E67" i="2"/>
  <c r="CI9" i="3"/>
  <c r="CL31" i="3"/>
  <c r="CJ43" i="3"/>
  <c r="CJ48" i="3" s="1"/>
  <c r="CL30" i="3"/>
  <c r="BO12" i="22740"/>
  <c r="F56" i="22738"/>
  <c r="DG11" i="3"/>
  <c r="DG29" i="3"/>
  <c r="DD11" i="3"/>
  <c r="Q9" i="3"/>
  <c r="Q12" i="3" s="1"/>
  <c r="T9" i="3"/>
  <c r="T12" i="3" s="1"/>
  <c r="S12" i="3" s="1"/>
  <c r="BJ29" i="3"/>
  <c r="BJ11" i="3"/>
  <c r="BG10" i="3"/>
  <c r="K37" i="4"/>
  <c r="S16" i="22740"/>
  <c r="AU16" i="22740"/>
  <c r="AV16" i="22740" s="1"/>
  <c r="AV19" i="22740" s="1"/>
  <c r="Z16" i="22740"/>
  <c r="CI11" i="3"/>
  <c r="CL29" i="3"/>
  <c r="CL11" i="3"/>
  <c r="BQ29" i="3"/>
  <c r="BN11" i="3"/>
  <c r="BQ11" i="3"/>
  <c r="BH43" i="3"/>
  <c r="BH48" i="3" s="1"/>
  <c r="DR10" i="3"/>
  <c r="F31" i="3"/>
  <c r="D43" i="3"/>
  <c r="D48" i="3" s="1"/>
  <c r="CC12" i="22740"/>
  <c r="F58" i="22738"/>
  <c r="BJ31" i="3"/>
  <c r="C45" i="2"/>
  <c r="E45" i="2" s="1"/>
  <c r="E46" i="2" s="1"/>
  <c r="E47" i="2" s="1"/>
  <c r="AL10" i="3"/>
  <c r="F47" i="22738"/>
  <c r="E68" i="22738"/>
  <c r="E70" i="22738"/>
  <c r="D12" i="22740"/>
  <c r="E67" i="22738"/>
  <c r="F65" i="22738"/>
  <c r="DZ12" i="22740"/>
  <c r="BH12" i="22740"/>
  <c r="F55" i="22738"/>
  <c r="EB30" i="3"/>
  <c r="EB31" i="3"/>
  <c r="DY9" i="3"/>
  <c r="DZ43" i="3"/>
  <c r="DZ48" i="3" s="1"/>
  <c r="DU11" i="3"/>
  <c r="DU29" i="3"/>
  <c r="DR11" i="3"/>
  <c r="BO60" i="3"/>
  <c r="CZ31" i="3"/>
  <c r="CX43" i="3"/>
  <c r="CX48" i="3" s="1"/>
  <c r="CZ30" i="3"/>
  <c r="CW9" i="3"/>
  <c r="DN29" i="3"/>
  <c r="DN11" i="3"/>
  <c r="DK11" i="3"/>
  <c r="F50" i="22738"/>
  <c r="Y12" i="22740"/>
  <c r="F64" i="22738"/>
  <c r="DS12" i="22740"/>
  <c r="BA12" i="22740"/>
  <c r="F54" i="22738"/>
  <c r="CE30" i="3"/>
  <c r="CC43" i="3"/>
  <c r="CC48" i="3" s="1"/>
  <c r="CE31" i="3"/>
  <c r="CB9" i="3"/>
  <c r="DY10" i="3"/>
  <c r="E69" i="22738"/>
  <c r="BV52" i="3"/>
  <c r="BX52" i="3" s="1"/>
  <c r="BA43" i="3"/>
  <c r="BA48" i="3" s="1"/>
  <c r="AZ9" i="3"/>
  <c r="AZ12" i="3" s="1"/>
  <c r="BC31" i="3"/>
  <c r="BC30" i="3"/>
  <c r="BN10" i="3"/>
  <c r="BO43" i="3"/>
  <c r="AL9" i="3"/>
  <c r="AM43" i="3"/>
  <c r="AO30" i="3"/>
  <c r="AO31" i="3"/>
  <c r="CZ11" i="3"/>
  <c r="CW11" i="3"/>
  <c r="CZ29" i="3"/>
  <c r="AV30" i="3"/>
  <c r="AS9" i="3"/>
  <c r="AS12" i="3" s="1"/>
  <c r="AV31" i="3"/>
  <c r="AT43" i="3"/>
  <c r="AT48" i="3" s="1"/>
  <c r="F60" i="22738"/>
  <c r="CQ12" i="22740"/>
  <c r="F66" i="22738"/>
  <c r="EG12" i="22740"/>
  <c r="F51" i="22738"/>
  <c r="AF12" i="22740"/>
  <c r="CS30" i="3"/>
  <c r="CQ60" i="3"/>
  <c r="CS31" i="3"/>
  <c r="CP9" i="3"/>
  <c r="CQ43" i="3"/>
  <c r="DE52" i="3"/>
  <c r="DG52" i="3" s="1"/>
  <c r="BQ30" i="3"/>
  <c r="DE12" i="22740"/>
  <c r="F62" i="22738"/>
  <c r="F59" i="22738"/>
  <c r="CJ12" i="22740"/>
  <c r="CX10" i="22740"/>
  <c r="H40" i="22742"/>
  <c r="I40" i="22742" s="1"/>
  <c r="CX9" i="22740"/>
  <c r="CB10" i="3"/>
  <c r="DY11" i="3"/>
  <c r="EG53" i="22740"/>
  <c r="EI53" i="22740" s="1"/>
  <c r="T53" i="3"/>
  <c r="AF53" i="3"/>
  <c r="CQ53" i="3"/>
  <c r="BJ53" i="3"/>
  <c r="DL53" i="3"/>
  <c r="BX53" i="3"/>
  <c r="C27" i="22715" l="1"/>
  <c r="B27" i="22715"/>
  <c r="J12" i="3"/>
  <c r="F52" i="22741"/>
  <c r="S9" i="22740"/>
  <c r="T9" i="22740" s="1"/>
  <c r="AB12" i="22740"/>
  <c r="U12" i="22740"/>
  <c r="DG53" i="22740"/>
  <c r="BC53" i="22740"/>
  <c r="DU53" i="22740"/>
  <c r="EB11" i="3"/>
  <c r="DU30" i="3"/>
  <c r="DU33" i="3" s="1"/>
  <c r="DU36" i="3" s="1"/>
  <c r="CB11" i="3"/>
  <c r="DS43" i="3"/>
  <c r="DS48" i="3" s="1"/>
  <c r="M33" i="3"/>
  <c r="M36" i="3" s="1"/>
  <c r="CS42" i="3"/>
  <c r="CQ48" i="3"/>
  <c r="BQ42" i="3"/>
  <c r="BO48" i="3"/>
  <c r="EI42" i="3"/>
  <c r="EG48" i="3"/>
  <c r="AH42" i="3"/>
  <c r="AF48" i="3"/>
  <c r="AH48" i="3" s="1"/>
  <c r="M42" i="3"/>
  <c r="K48" i="3"/>
  <c r="M48" i="3" s="1"/>
  <c r="AA42" i="3"/>
  <c r="Y48" i="3"/>
  <c r="D19" i="22739"/>
  <c r="E19" i="22739" s="1"/>
  <c r="E23" i="22739" s="1"/>
  <c r="E24" i="22739" s="1"/>
  <c r="F24" i="22741"/>
  <c r="EI25" i="22740"/>
  <c r="DU25" i="22740"/>
  <c r="DG25" i="22740"/>
  <c r="CS25" i="22740"/>
  <c r="CE25" i="22740"/>
  <c r="BQ25" i="22740"/>
  <c r="BC25" i="22740"/>
  <c r="AO25" i="22740"/>
  <c r="EB25" i="22740"/>
  <c r="DN25" i="22740"/>
  <c r="CZ25" i="22740"/>
  <c r="CL25" i="22740"/>
  <c r="BX25" i="22740"/>
  <c r="BJ25" i="22740"/>
  <c r="AV25" i="22740"/>
  <c r="AH25" i="22740"/>
  <c r="AH17" i="22740"/>
  <c r="AA25" i="22740"/>
  <c r="AA17" i="22740"/>
  <c r="T16" i="22740"/>
  <c r="T18" i="22740"/>
  <c r="M16" i="22740"/>
  <c r="M18" i="22740"/>
  <c r="M25" i="22740"/>
  <c r="F18" i="22740"/>
  <c r="F16" i="22740"/>
  <c r="AH18" i="22740"/>
  <c r="AH16" i="22740"/>
  <c r="AA18" i="22740"/>
  <c r="AA16" i="22740"/>
  <c r="T25" i="22740"/>
  <c r="T17" i="22740"/>
  <c r="M17" i="22740"/>
  <c r="F17" i="22740"/>
  <c r="F25" i="22740"/>
  <c r="AO42" i="3"/>
  <c r="AM48" i="3"/>
  <c r="AO48" i="3" s="1"/>
  <c r="BX42" i="3"/>
  <c r="BV48" i="3"/>
  <c r="DN42" i="3"/>
  <c r="DL48" i="3"/>
  <c r="DN48" i="3" s="1"/>
  <c r="CX11" i="22740"/>
  <c r="CZ11" i="22740" s="1"/>
  <c r="F53" i="22740"/>
  <c r="CZ53" i="22740"/>
  <c r="AO53" i="22740"/>
  <c r="BQ53" i="22740"/>
  <c r="BX53" i="22740"/>
  <c r="Z9" i="22740"/>
  <c r="B51" i="22738"/>
  <c r="E138" i="22739"/>
  <c r="DR9" i="3"/>
  <c r="DR12" i="3" s="1"/>
  <c r="EI48" i="3"/>
  <c r="DU48" i="3"/>
  <c r="CS48" i="3"/>
  <c r="CE48" i="3"/>
  <c r="BQ48" i="3"/>
  <c r="BC48" i="3"/>
  <c r="AA48" i="3"/>
  <c r="EB48" i="3"/>
  <c r="CZ48" i="3"/>
  <c r="CL48" i="3"/>
  <c r="BX48" i="3"/>
  <c r="BJ48" i="3"/>
  <c r="AV48" i="3"/>
  <c r="T48" i="3"/>
  <c r="F48" i="3"/>
  <c r="DL60" i="3"/>
  <c r="DN60" i="3" s="1"/>
  <c r="EI46" i="3"/>
  <c r="E138" i="2"/>
  <c r="CE11" i="3"/>
  <c r="F33" i="3"/>
  <c r="F36" i="3" s="1"/>
  <c r="H15" i="22743"/>
  <c r="H61" i="22743"/>
  <c r="D65" i="22743"/>
  <c r="H65" i="22743" s="1"/>
  <c r="E46" i="22739"/>
  <c r="AH33" i="3"/>
  <c r="AH36" i="3" s="1"/>
  <c r="M46" i="3"/>
  <c r="AT60" i="3"/>
  <c r="AT62" i="3" s="1"/>
  <c r="AA46" i="3"/>
  <c r="BH60" i="3"/>
  <c r="BH62" i="3" s="1"/>
  <c r="EI33" i="3"/>
  <c r="EI36" i="3" s="1"/>
  <c r="BA60" i="3"/>
  <c r="AY62" i="3" s="1"/>
  <c r="DZ60" i="3"/>
  <c r="DZ62" i="3" s="1"/>
  <c r="CJ60" i="3"/>
  <c r="CJ62" i="3" s="1"/>
  <c r="T33" i="3"/>
  <c r="T36" i="3" s="1"/>
  <c r="C12" i="3"/>
  <c r="BV60" i="3"/>
  <c r="BX60" i="3" s="1"/>
  <c r="BX62" i="3" s="1"/>
  <c r="M14" i="3"/>
  <c r="D27" i="22714" s="1"/>
  <c r="AM60" i="3"/>
  <c r="AM62" i="3" s="1"/>
  <c r="BA62" i="3"/>
  <c r="CC60" i="3"/>
  <c r="CC62" i="3" s="1"/>
  <c r="Z9" i="3"/>
  <c r="AA9" i="3" s="1"/>
  <c r="B52" i="1"/>
  <c r="F68" i="3"/>
  <c r="BO46" i="3"/>
  <c r="BO47" i="3" s="1"/>
  <c r="BQ47" i="3" s="1"/>
  <c r="AO46" i="3"/>
  <c r="C53" i="1"/>
  <c r="AG10" i="3"/>
  <c r="AH10" i="3" s="1"/>
  <c r="AI12" i="22740"/>
  <c r="N12" i="22740"/>
  <c r="AP12" i="22740"/>
  <c r="BV9" i="22740"/>
  <c r="BU9" i="22740" s="1"/>
  <c r="DV12" i="22740"/>
  <c r="H36" i="22742"/>
  <c r="I36" i="22742" s="1"/>
  <c r="DO12" i="22740"/>
  <c r="DH10" i="22740"/>
  <c r="DH12" i="22740" s="1"/>
  <c r="C95" i="22738"/>
  <c r="G9" i="22741" s="1"/>
  <c r="C96" i="22738"/>
  <c r="T10" i="22740"/>
  <c r="Z10" i="22740"/>
  <c r="C51" i="22738"/>
  <c r="B99" i="22741"/>
  <c r="T30" i="22740"/>
  <c r="BQ46" i="3"/>
  <c r="T46" i="3"/>
  <c r="E142" i="2"/>
  <c r="H46" i="22744"/>
  <c r="H49" i="22744" s="1"/>
  <c r="F10" i="4"/>
  <c r="B38" i="22715" s="1"/>
  <c r="C38" i="22715" s="1"/>
  <c r="F27" i="4"/>
  <c r="AB12" i="3"/>
  <c r="Y11" i="3"/>
  <c r="DS60" i="3"/>
  <c r="DS62" i="3" s="1"/>
  <c r="CX60" i="3"/>
  <c r="CX62" i="3" s="1"/>
  <c r="Y60" i="3"/>
  <c r="Z43" i="3"/>
  <c r="Y46" i="3" s="1"/>
  <c r="Y47" i="3" s="1"/>
  <c r="AA47" i="3" s="1"/>
  <c r="AF60" i="3"/>
  <c r="AF62" i="3" s="1"/>
  <c r="AG43" i="3"/>
  <c r="AF46" i="3" s="1"/>
  <c r="AF47" i="3" s="1"/>
  <c r="AH47" i="3" s="1"/>
  <c r="S43" i="3"/>
  <c r="R46" i="3" s="1"/>
  <c r="R47" i="3" s="1"/>
  <c r="T47" i="3" s="1"/>
  <c r="R60" i="3"/>
  <c r="L43" i="3"/>
  <c r="K46" i="3" s="1"/>
  <c r="K47" i="3" s="1"/>
  <c r="M47" i="3" s="1"/>
  <c r="K60" i="3"/>
  <c r="D60" i="3"/>
  <c r="G77" i="22738"/>
  <c r="G90" i="22738"/>
  <c r="G94" i="22738"/>
  <c r="G83" i="22738"/>
  <c r="G86" i="22738"/>
  <c r="G85" i="22738"/>
  <c r="G82" i="22738"/>
  <c r="G92" i="22738"/>
  <c r="G91" i="22738"/>
  <c r="G75" i="22738"/>
  <c r="G78" i="22738"/>
  <c r="G93" i="22738"/>
  <c r="G84" i="22738"/>
  <c r="G79" i="22738"/>
  <c r="G76" i="22738"/>
  <c r="G80" i="22738"/>
  <c r="G87" i="22738"/>
  <c r="G89" i="22738"/>
  <c r="G81" i="22738"/>
  <c r="G88" i="22738"/>
  <c r="EH43" i="3"/>
  <c r="EG46" i="3" s="1"/>
  <c r="EG47" i="3" s="1"/>
  <c r="EI47" i="3" s="1"/>
  <c r="EG60" i="3"/>
  <c r="Q10" i="22740"/>
  <c r="CP12" i="3"/>
  <c r="G8" i="4"/>
  <c r="B9" i="22715"/>
  <c r="C9" i="22715" s="1"/>
  <c r="DH12" i="3"/>
  <c r="DE9" i="3"/>
  <c r="BX46" i="3"/>
  <c r="R11" i="22740"/>
  <c r="T11" i="22740" s="1"/>
  <c r="D96" i="22738"/>
  <c r="BV11" i="22740"/>
  <c r="BX11" i="22740" s="1"/>
  <c r="F96" i="22738"/>
  <c r="D95" i="22738"/>
  <c r="DN32" i="22740" s="1"/>
  <c r="F95" i="22738"/>
  <c r="G10" i="22741" s="1"/>
  <c r="BO62" i="3"/>
  <c r="CL33" i="3"/>
  <c r="CL36" i="3" s="1"/>
  <c r="AA53" i="3"/>
  <c r="H27" i="22742"/>
  <c r="I27" i="22742" s="1"/>
  <c r="K9" i="22740"/>
  <c r="J9" i="22740" s="1"/>
  <c r="BU12" i="3"/>
  <c r="BQ33" i="3"/>
  <c r="BQ36" i="3" s="1"/>
  <c r="K11" i="22740"/>
  <c r="M29" i="22740" s="1"/>
  <c r="K10" i="22740"/>
  <c r="BN12" i="3"/>
  <c r="DK12" i="3"/>
  <c r="C46" i="2"/>
  <c r="CS33" i="3"/>
  <c r="CS36" i="3" s="1"/>
  <c r="AT11" i="22740"/>
  <c r="AV11" i="22740" s="1"/>
  <c r="AT10" i="22740"/>
  <c r="AT9" i="22740"/>
  <c r="AS9" i="22740" s="1"/>
  <c r="DL46" i="3"/>
  <c r="DL47" i="3" s="1"/>
  <c r="DN47" i="3" s="1"/>
  <c r="CI12" i="3"/>
  <c r="DL10" i="22740"/>
  <c r="DL11" i="22740"/>
  <c r="DL9" i="22740"/>
  <c r="H42" i="22742"/>
  <c r="I42" i="22742" s="1"/>
  <c r="AM9" i="22740"/>
  <c r="H31" i="22742"/>
  <c r="I31" i="22742" s="1"/>
  <c r="AM10" i="22740"/>
  <c r="AM11" i="22740"/>
  <c r="CZ33" i="3"/>
  <c r="CZ36" i="3" s="1"/>
  <c r="AL12" i="3"/>
  <c r="BG12" i="3"/>
  <c r="DN33" i="3"/>
  <c r="DN36" i="3" s="1"/>
  <c r="BX33" i="3"/>
  <c r="BX36" i="3" s="1"/>
  <c r="BV46" i="3"/>
  <c r="BV47" i="3" s="1"/>
  <c r="BX47" i="3" s="1"/>
  <c r="CL42" i="3"/>
  <c r="CL46" i="3" s="1"/>
  <c r="CJ46" i="3"/>
  <c r="CJ47" i="3" s="1"/>
  <c r="CL47" i="3" s="1"/>
  <c r="EB33" i="3"/>
  <c r="EB36" i="3" s="1"/>
  <c r="AM46" i="3"/>
  <c r="AM47" i="3" s="1"/>
  <c r="AO47" i="3" s="1"/>
  <c r="T14" i="3"/>
  <c r="D28" i="22714" s="1"/>
  <c r="F42" i="3"/>
  <c r="F46" i="3" s="1"/>
  <c r="D46" i="3"/>
  <c r="D47" i="3" s="1"/>
  <c r="F47" i="3" s="1"/>
  <c r="BO9" i="22740"/>
  <c r="H35" i="22742"/>
  <c r="I35" i="22742" s="1"/>
  <c r="BO11" i="22740"/>
  <c r="BO10" i="22740"/>
  <c r="E70" i="2"/>
  <c r="CQ46" i="3"/>
  <c r="CQ47" i="3" s="1"/>
  <c r="CS47" i="3" s="1"/>
  <c r="BV62" i="3"/>
  <c r="BC33" i="3"/>
  <c r="BC36" i="3" s="1"/>
  <c r="H37" i="22742"/>
  <c r="I37" i="22742" s="1"/>
  <c r="CC9" i="22740"/>
  <c r="CC11" i="22740"/>
  <c r="CC10" i="22740"/>
  <c r="BJ42" i="3"/>
  <c r="BJ46" i="3" s="1"/>
  <c r="BH46" i="3"/>
  <c r="BH47" i="3" s="1"/>
  <c r="BJ47" i="3" s="1"/>
  <c r="BJ33" i="3"/>
  <c r="BJ36" i="3" s="1"/>
  <c r="CW10" i="22740"/>
  <c r="DE9" i="22740"/>
  <c r="H41" i="22742"/>
  <c r="I41" i="22742" s="1"/>
  <c r="DE11" i="22740"/>
  <c r="CS60" i="3"/>
  <c r="CO62" i="3"/>
  <c r="AO33" i="3"/>
  <c r="AO36" i="3" s="1"/>
  <c r="CB12" i="3"/>
  <c r="BU10" i="22740"/>
  <c r="CE33" i="3"/>
  <c r="CE36" i="3" s="1"/>
  <c r="CZ42" i="3"/>
  <c r="CZ46" i="3" s="1"/>
  <c r="CX46" i="3"/>
  <c r="CX47" i="3" s="1"/>
  <c r="CZ47" i="3" s="1"/>
  <c r="DY12" i="3"/>
  <c r="CJ9" i="22740"/>
  <c r="CJ10" i="22740"/>
  <c r="CJ11" i="22740"/>
  <c r="H38" i="22742"/>
  <c r="I38" i="22742" s="1"/>
  <c r="AF10" i="22740"/>
  <c r="AF11" i="22740"/>
  <c r="AF9" i="22740"/>
  <c r="AH32" i="22740"/>
  <c r="H30" i="22742"/>
  <c r="I30" i="22742" s="1"/>
  <c r="CQ11" i="22740"/>
  <c r="CQ9" i="22740"/>
  <c r="H39" i="22742"/>
  <c r="I39" i="22742" s="1"/>
  <c r="CQ10" i="22740"/>
  <c r="Y10" i="22740"/>
  <c r="Y9" i="22740"/>
  <c r="H29" i="22742"/>
  <c r="I29" i="22742" s="1"/>
  <c r="Y11" i="22740"/>
  <c r="E48" i="2"/>
  <c r="F47" i="2" s="1"/>
  <c r="F67" i="22738"/>
  <c r="F68" i="22738"/>
  <c r="F70" i="22738"/>
  <c r="CW9" i="22740"/>
  <c r="CZ30" i="22740"/>
  <c r="CZ31" i="22740"/>
  <c r="D11" i="22741"/>
  <c r="CE42" i="3"/>
  <c r="CE46" i="3" s="1"/>
  <c r="CC46" i="3"/>
  <c r="CC47" i="3" s="1"/>
  <c r="CE47" i="3" s="1"/>
  <c r="BA10" i="22740"/>
  <c r="BA9" i="22740"/>
  <c r="BA11" i="22740"/>
  <c r="H33" i="22742"/>
  <c r="I33" i="22742" s="1"/>
  <c r="F69" i="22738"/>
  <c r="CW12" i="3"/>
  <c r="BQ60" i="3"/>
  <c r="BQ62" i="3" s="1"/>
  <c r="BM62" i="3"/>
  <c r="BH11" i="22740"/>
  <c r="BH9" i="22740"/>
  <c r="H34" i="22742"/>
  <c r="I34" i="22742" s="1"/>
  <c r="BH10" i="22740"/>
  <c r="D11" i="22740"/>
  <c r="D9" i="22740"/>
  <c r="D10" i="22740"/>
  <c r="H26" i="22742"/>
  <c r="I26" i="22742" s="1"/>
  <c r="EG11" i="22740"/>
  <c r="H45" i="22742"/>
  <c r="I45" i="22742" s="1"/>
  <c r="EG10" i="22740"/>
  <c r="EI32" i="22740"/>
  <c r="EG9" i="22740"/>
  <c r="AT46" i="3"/>
  <c r="AT47" i="3" s="1"/>
  <c r="AV47" i="3" s="1"/>
  <c r="AV42" i="3"/>
  <c r="AV46" i="3" s="1"/>
  <c r="AV33" i="3"/>
  <c r="AV36" i="3" s="1"/>
  <c r="BC60" i="3"/>
  <c r="BC62" i="3" s="1"/>
  <c r="BC42" i="3"/>
  <c r="BC46" i="3" s="1"/>
  <c r="BA46" i="3"/>
  <c r="BA47" i="3" s="1"/>
  <c r="BC47" i="3" s="1"/>
  <c r="DS10" i="22740"/>
  <c r="DS9" i="22740"/>
  <c r="H43" i="22742"/>
  <c r="I43" i="22742" s="1"/>
  <c r="DS11" i="22740"/>
  <c r="EB42" i="3"/>
  <c r="EB46" i="3" s="1"/>
  <c r="DZ46" i="3"/>
  <c r="DZ47" i="3" s="1"/>
  <c r="EB47" i="3" s="1"/>
  <c r="EB60" i="3"/>
  <c r="DZ10" i="22740"/>
  <c r="DZ11" i="22740"/>
  <c r="H44" i="22742"/>
  <c r="I44" i="22742" s="1"/>
  <c r="DZ9" i="22740"/>
  <c r="B99" i="4"/>
  <c r="B141" i="4"/>
  <c r="B149" i="4" s="1"/>
  <c r="H185" i="22715" s="1"/>
  <c r="B100" i="22741"/>
  <c r="B142" i="22741"/>
  <c r="B150" i="22741" s="1"/>
  <c r="J185" i="22715" s="1"/>
  <c r="DL62" i="3"/>
  <c r="DN53" i="3"/>
  <c r="AH53" i="3"/>
  <c r="DN46" i="3"/>
  <c r="AH46" i="3"/>
  <c r="B138" i="4"/>
  <c r="CS46" i="3"/>
  <c r="CQ62" i="3"/>
  <c r="CS53" i="3"/>
  <c r="C26" i="22715"/>
  <c r="B112" i="22741"/>
  <c r="F31" i="22741" l="1"/>
  <c r="CX43" i="22740"/>
  <c r="CX48" i="22740" s="1"/>
  <c r="AA32" i="22740"/>
  <c r="F21" i="22740"/>
  <c r="F20" i="22741"/>
  <c r="CW11" i="22740"/>
  <c r="T12" i="22740"/>
  <c r="S12" i="22740" s="1"/>
  <c r="CZ29" i="22740"/>
  <c r="AA19" i="22740"/>
  <c r="T19" i="22740"/>
  <c r="AH19" i="22740"/>
  <c r="DS46" i="3"/>
  <c r="DS47" i="3" s="1"/>
  <c r="DU47" i="3" s="1"/>
  <c r="T50" i="3"/>
  <c r="DU42" i="3"/>
  <c r="DU46" i="3" s="1"/>
  <c r="CL60" i="3"/>
  <c r="CL62" i="3" s="1"/>
  <c r="AA50" i="3"/>
  <c r="F19" i="22740"/>
  <c r="M19" i="22740"/>
  <c r="EB50" i="3"/>
  <c r="BC50" i="3"/>
  <c r="F23" i="22741"/>
  <c r="F21" i="22741"/>
  <c r="EI24" i="22740"/>
  <c r="EI22" i="22740"/>
  <c r="EB23" i="22740"/>
  <c r="EB21" i="22740"/>
  <c r="DU24" i="22740"/>
  <c r="DU22" i="22740"/>
  <c r="DN23" i="22740"/>
  <c r="DN21" i="22740"/>
  <c r="DG24" i="22740"/>
  <c r="DG22" i="22740"/>
  <c r="CZ23" i="22740"/>
  <c r="CZ21" i="22740"/>
  <c r="CS24" i="22740"/>
  <c r="CS22" i="22740"/>
  <c r="CL23" i="22740"/>
  <c r="CL21" i="22740"/>
  <c r="CE24" i="22740"/>
  <c r="CE22" i="22740"/>
  <c r="BX23" i="22740"/>
  <c r="BX21" i="22740"/>
  <c r="BQ24" i="22740"/>
  <c r="BQ22" i="22740"/>
  <c r="BJ23" i="22740"/>
  <c r="BJ21" i="22740"/>
  <c r="BC24" i="22740"/>
  <c r="BC22" i="22740"/>
  <c r="AV23" i="22740"/>
  <c r="AV21" i="22740"/>
  <c r="AO24" i="22740"/>
  <c r="AO22" i="22740"/>
  <c r="AH23" i="22740"/>
  <c r="AH21" i="22740"/>
  <c r="F22" i="22741"/>
  <c r="EI23" i="22740"/>
  <c r="EI21" i="22740"/>
  <c r="EB24" i="22740"/>
  <c r="EB22" i="22740"/>
  <c r="DU23" i="22740"/>
  <c r="DU21" i="22740"/>
  <c r="DN24" i="22740"/>
  <c r="DN22" i="22740"/>
  <c r="DG23" i="22740"/>
  <c r="DG21" i="22740"/>
  <c r="CZ24" i="22740"/>
  <c r="CZ22" i="22740"/>
  <c r="CS23" i="22740"/>
  <c r="CS21" i="22740"/>
  <c r="CL24" i="22740"/>
  <c r="CL22" i="22740"/>
  <c r="CE23" i="22740"/>
  <c r="CE21" i="22740"/>
  <c r="BX24" i="22740"/>
  <c r="BX22" i="22740"/>
  <c r="BQ23" i="22740"/>
  <c r="BQ21" i="22740"/>
  <c r="BJ24" i="22740"/>
  <c r="BJ22" i="22740"/>
  <c r="BC23" i="22740"/>
  <c r="BC21" i="22740"/>
  <c r="AV24" i="22740"/>
  <c r="AV22" i="22740"/>
  <c r="AO23" i="22740"/>
  <c r="AO21" i="22740"/>
  <c r="AH24" i="22740"/>
  <c r="AH22" i="22740"/>
  <c r="AA21" i="22740"/>
  <c r="AA24" i="22740"/>
  <c r="T24" i="22740"/>
  <c r="T22" i="22740"/>
  <c r="M21" i="22740"/>
  <c r="M23" i="22740"/>
  <c r="AA22" i="22740"/>
  <c r="AA23" i="22740"/>
  <c r="T23" i="22740"/>
  <c r="T21" i="22740"/>
  <c r="M24" i="22740"/>
  <c r="M22" i="22740"/>
  <c r="F22" i="22740"/>
  <c r="F24" i="22740"/>
  <c r="F23" i="22740"/>
  <c r="AG9" i="22740"/>
  <c r="AH9" i="22740" s="1"/>
  <c r="B52" i="22738"/>
  <c r="M50" i="3"/>
  <c r="F50" i="3"/>
  <c r="BJ50" i="3"/>
  <c r="AV50" i="3"/>
  <c r="CE50" i="3"/>
  <c r="CZ50" i="3"/>
  <c r="AR62" i="3"/>
  <c r="CS50" i="3"/>
  <c r="BF62" i="3"/>
  <c r="AO50" i="3"/>
  <c r="CL50" i="3"/>
  <c r="M68" i="3"/>
  <c r="BX50" i="3"/>
  <c r="DN50" i="3"/>
  <c r="DJ62" i="3"/>
  <c r="EI50" i="3"/>
  <c r="AH50" i="3"/>
  <c r="BQ50" i="3"/>
  <c r="AV60" i="3"/>
  <c r="AV62" i="3" s="1"/>
  <c r="BJ60" i="3"/>
  <c r="BJ62" i="3" s="1"/>
  <c r="CH62" i="3"/>
  <c r="BV43" i="22740"/>
  <c r="BV48" i="22740" s="1"/>
  <c r="H67" i="22743"/>
  <c r="H83" i="22743" s="1"/>
  <c r="H98" i="22743" s="1"/>
  <c r="H31" i="22743"/>
  <c r="H45" i="22743" s="1"/>
  <c r="H48" i="22743" s="1"/>
  <c r="E142" i="22739"/>
  <c r="G11" i="22741"/>
  <c r="DX62" i="3"/>
  <c r="CA62" i="3"/>
  <c r="BT62" i="3"/>
  <c r="DU60" i="3"/>
  <c r="DU62" i="3" s="1"/>
  <c r="AK62" i="3"/>
  <c r="AO60" i="3"/>
  <c r="AO62" i="3" s="1"/>
  <c r="CE60" i="3"/>
  <c r="CE62" i="3" s="1"/>
  <c r="B53" i="1"/>
  <c r="AG9" i="3"/>
  <c r="AH9" i="3" s="1"/>
  <c r="AH12" i="3" s="1"/>
  <c r="AN10" i="3"/>
  <c r="AO10" i="3" s="1"/>
  <c r="C54" i="1"/>
  <c r="BX30" i="22740"/>
  <c r="BX31" i="22740"/>
  <c r="DE10" i="22740"/>
  <c r="DE43" i="22740" s="1"/>
  <c r="DE48" i="22740" s="1"/>
  <c r="EB32" i="22740"/>
  <c r="DU32" i="22740"/>
  <c r="F32" i="22740"/>
  <c r="BC32" i="22740"/>
  <c r="C52" i="22738"/>
  <c r="AG10" i="22740"/>
  <c r="AH10" i="22740" s="1"/>
  <c r="BJ32" i="22740"/>
  <c r="CS32" i="22740"/>
  <c r="BQ32" i="22740"/>
  <c r="AO32" i="22740"/>
  <c r="AV32" i="22740"/>
  <c r="CL32" i="22740"/>
  <c r="DG32" i="22740"/>
  <c r="CE32" i="22740"/>
  <c r="EB62" i="3"/>
  <c r="E146" i="2"/>
  <c r="F142" i="2"/>
  <c r="AA29" i="3"/>
  <c r="AA33" i="3" s="1"/>
  <c r="AA36" i="3" s="1"/>
  <c r="X11" i="3"/>
  <c r="X12" i="3" s="1"/>
  <c r="AA11" i="3"/>
  <c r="AA12" i="3" s="1"/>
  <c r="CZ60" i="3"/>
  <c r="CZ62" i="3" s="1"/>
  <c r="CV62" i="3"/>
  <c r="B62" i="3"/>
  <c r="F60" i="3"/>
  <c r="F62" i="3" s="1"/>
  <c r="D62" i="3"/>
  <c r="AA60" i="3"/>
  <c r="AA62" i="3" s="1"/>
  <c r="W62" i="3"/>
  <c r="DQ62" i="3"/>
  <c r="G95" i="22738"/>
  <c r="M60" i="3"/>
  <c r="K62" i="3"/>
  <c r="I62" i="3"/>
  <c r="Y62" i="3"/>
  <c r="EE62" i="3"/>
  <c r="EG62" i="3"/>
  <c r="EI60" i="3"/>
  <c r="EI62" i="3" s="1"/>
  <c r="G96" i="22738"/>
  <c r="AD62" i="3"/>
  <c r="AH60" i="3"/>
  <c r="R62" i="3"/>
  <c r="P62" i="3"/>
  <c r="T60" i="3"/>
  <c r="T62" i="3" s="1"/>
  <c r="Q11" i="22740"/>
  <c r="Q12" i="22740" s="1"/>
  <c r="T29" i="22740"/>
  <c r="M30" i="22740"/>
  <c r="DG30" i="3"/>
  <c r="DG31" i="3"/>
  <c r="DD9" i="3"/>
  <c r="DD12" i="3" s="1"/>
  <c r="DE60" i="3"/>
  <c r="DE43" i="3"/>
  <c r="DE48" i="3" s="1"/>
  <c r="DG48" i="3" s="1"/>
  <c r="G11" i="4"/>
  <c r="D8" i="4"/>
  <c r="T68" i="3"/>
  <c r="BX29" i="22740"/>
  <c r="BU11" i="22740"/>
  <c r="BU12" i="22740" s="1"/>
  <c r="AS11" i="22740"/>
  <c r="R43" i="22740"/>
  <c r="R48" i="22740" s="1"/>
  <c r="T32" i="22740"/>
  <c r="BX32" i="22740"/>
  <c r="CZ32" i="22740"/>
  <c r="M32" i="22740"/>
  <c r="AV31" i="22740"/>
  <c r="M11" i="22740"/>
  <c r="M9" i="22740"/>
  <c r="J11" i="22740"/>
  <c r="M31" i="22740"/>
  <c r="M10" i="22740"/>
  <c r="AV29" i="22740"/>
  <c r="J10" i="22740"/>
  <c r="J12" i="22740" s="1"/>
  <c r="I185" i="22715"/>
  <c r="K43" i="22740"/>
  <c r="K48" i="22740" s="1"/>
  <c r="AT43" i="22740"/>
  <c r="AT48" i="22740" s="1"/>
  <c r="AS10" i="22740"/>
  <c r="AV30" i="22740"/>
  <c r="AL9" i="22740"/>
  <c r="AO31" i="22740"/>
  <c r="AO30" i="22740"/>
  <c r="AM43" i="22740"/>
  <c r="AM48" i="22740" s="1"/>
  <c r="DK9" i="22740"/>
  <c r="DL43" i="22740"/>
  <c r="DL48" i="22740" s="1"/>
  <c r="DN31" i="22740"/>
  <c r="DN30" i="22740"/>
  <c r="AL11" i="22740"/>
  <c r="AO29" i="22740"/>
  <c r="AO11" i="22740"/>
  <c r="DN29" i="22740"/>
  <c r="DN11" i="22740"/>
  <c r="DK11" i="22740"/>
  <c r="AL10" i="22740"/>
  <c r="DK10" i="22740"/>
  <c r="CB10" i="22740"/>
  <c r="BQ11" i="22740"/>
  <c r="BQ29" i="22740"/>
  <c r="BN11" i="22740"/>
  <c r="CW12" i="22740"/>
  <c r="CE29" i="22740"/>
  <c r="CE11" i="22740"/>
  <c r="CB11" i="22740"/>
  <c r="E71" i="2"/>
  <c r="F70" i="2" s="1"/>
  <c r="CC43" i="22740"/>
  <c r="CC48" i="22740" s="1"/>
  <c r="CB9" i="22740"/>
  <c r="CE31" i="22740"/>
  <c r="CE30" i="22740"/>
  <c r="BN10" i="22740"/>
  <c r="BQ30" i="22740"/>
  <c r="BN9" i="22740"/>
  <c r="BQ31" i="22740"/>
  <c r="BO43" i="22740"/>
  <c r="BO48" i="22740" s="1"/>
  <c r="DY11" i="22740"/>
  <c r="EB29" i="22740"/>
  <c r="EB11" i="22740"/>
  <c r="DR10" i="22740"/>
  <c r="F11" i="22740"/>
  <c r="F29" i="22740"/>
  <c r="C11" i="22740"/>
  <c r="BG9" i="22740"/>
  <c r="BH43" i="22740"/>
  <c r="BH48" i="22740" s="1"/>
  <c r="BJ30" i="22740"/>
  <c r="BJ31" i="22740"/>
  <c r="AZ10" i="22740"/>
  <c r="AA11" i="22740"/>
  <c r="AA29" i="22740"/>
  <c r="X11" i="22740"/>
  <c r="X10" i="22740"/>
  <c r="AA10" i="22740"/>
  <c r="CP11" i="22740"/>
  <c r="CS11" i="22740"/>
  <c r="CS29" i="22740"/>
  <c r="AE9" i="22740"/>
  <c r="AH30" i="22740"/>
  <c r="AF43" i="22740"/>
  <c r="AF48" i="22740" s="1"/>
  <c r="AH31" i="22740"/>
  <c r="CL29" i="22740"/>
  <c r="CI11" i="22740"/>
  <c r="CL11" i="22740"/>
  <c r="DY9" i="22740"/>
  <c r="EB30" i="22740"/>
  <c r="EB31" i="22740"/>
  <c r="DZ43" i="22740"/>
  <c r="DZ48" i="22740" s="1"/>
  <c r="DY10" i="22740"/>
  <c r="DR11" i="22740"/>
  <c r="DU11" i="22740"/>
  <c r="DU29" i="22740"/>
  <c r="EF9" i="22740"/>
  <c r="EI31" i="22740"/>
  <c r="EG43" i="22740"/>
  <c r="EG48" i="22740" s="1"/>
  <c r="EI30" i="22740"/>
  <c r="EI29" i="22740"/>
  <c r="EF11" i="22740"/>
  <c r="EI11" i="22740"/>
  <c r="BJ29" i="22740"/>
  <c r="BJ11" i="22740"/>
  <c r="BG11" i="22740"/>
  <c r="BC11" i="22740"/>
  <c r="BC29" i="22740"/>
  <c r="AZ11" i="22740"/>
  <c r="D9" i="22741"/>
  <c r="D8" i="22741"/>
  <c r="D10" i="22741"/>
  <c r="CP10" i="22740"/>
  <c r="AH29" i="22740"/>
  <c r="AH11" i="22740"/>
  <c r="AE11" i="22740"/>
  <c r="CI10" i="22740"/>
  <c r="C10" i="22740"/>
  <c r="F10" i="22740"/>
  <c r="BG10" i="22740"/>
  <c r="X9" i="22740"/>
  <c r="AA30" i="22740"/>
  <c r="AA31" i="22740"/>
  <c r="Y43" i="22740"/>
  <c r="Y48" i="22740" s="1"/>
  <c r="AA9" i="22740"/>
  <c r="AE10" i="22740"/>
  <c r="DD9" i="22740"/>
  <c r="DR9" i="22740"/>
  <c r="DS43" i="22740"/>
  <c r="DS48" i="22740" s="1"/>
  <c r="DU30" i="22740"/>
  <c r="DU31" i="22740"/>
  <c r="EF10" i="22740"/>
  <c r="F30" i="22740"/>
  <c r="C9" i="22740"/>
  <c r="F31" i="22740"/>
  <c r="D43" i="22740"/>
  <c r="D48" i="22740" s="1"/>
  <c r="F9" i="22740"/>
  <c r="AZ9" i="22740"/>
  <c r="BC31" i="22740"/>
  <c r="BA43" i="22740"/>
  <c r="BA48" i="22740" s="1"/>
  <c r="BC30" i="22740"/>
  <c r="F12" i="2"/>
  <c r="F43" i="2"/>
  <c r="F16" i="2"/>
  <c r="F20" i="2"/>
  <c r="F18" i="2"/>
  <c r="F44" i="2"/>
  <c r="F22" i="2"/>
  <c r="F31" i="2"/>
  <c r="F30" i="2"/>
  <c r="F42" i="2"/>
  <c r="F40" i="2"/>
  <c r="F11" i="2"/>
  <c r="F39" i="2"/>
  <c r="F21" i="2"/>
  <c r="F9" i="2"/>
  <c r="F15" i="2"/>
  <c r="F36" i="2"/>
  <c r="F10" i="2"/>
  <c r="F17" i="2"/>
  <c r="F38" i="2"/>
  <c r="F28" i="2"/>
  <c r="F23" i="2"/>
  <c r="F33" i="2"/>
  <c r="F19" i="2"/>
  <c r="F37" i="2"/>
  <c r="F14" i="2"/>
  <c r="F46" i="2"/>
  <c r="F24" i="2"/>
  <c r="F41" i="2"/>
  <c r="F48" i="2"/>
  <c r="F26" i="2"/>
  <c r="F29" i="2"/>
  <c r="F27" i="2"/>
  <c r="F32" i="2"/>
  <c r="F45" i="2"/>
  <c r="F13" i="2"/>
  <c r="F34" i="2"/>
  <c r="CP9" i="22740"/>
  <c r="CS31" i="22740"/>
  <c r="CS30" i="22740"/>
  <c r="CQ43" i="22740"/>
  <c r="CQ48" i="22740" s="1"/>
  <c r="CL31" i="22740"/>
  <c r="CL30" i="22740"/>
  <c r="CJ43" i="22740"/>
  <c r="CJ48" i="22740" s="1"/>
  <c r="CI9" i="22740"/>
  <c r="DD11" i="22740"/>
  <c r="DG11" i="22740"/>
  <c r="DG29" i="22740"/>
  <c r="B148" i="4"/>
  <c r="B143" i="4"/>
  <c r="CS62" i="3"/>
  <c r="DN62" i="3"/>
  <c r="J103" i="22715"/>
  <c r="I103" i="22715" s="1"/>
  <c r="F33" i="22740" l="1"/>
  <c r="DU50" i="3"/>
  <c r="T14" i="22740"/>
  <c r="D28" i="22742" s="1"/>
  <c r="CZ33" i="22740"/>
  <c r="F25" i="22741"/>
  <c r="B133" i="22741" s="1"/>
  <c r="B148" i="22741" s="1"/>
  <c r="J183" i="22715" s="1"/>
  <c r="I183" i="22715" s="1"/>
  <c r="DG31" i="22740"/>
  <c r="AO26" i="22740"/>
  <c r="BC26" i="22740"/>
  <c r="BQ26" i="22740"/>
  <c r="CE26" i="22740"/>
  <c r="CS26" i="22740"/>
  <c r="DG26" i="22740"/>
  <c r="DU26" i="22740"/>
  <c r="EI26" i="22740"/>
  <c r="T26" i="22740"/>
  <c r="F26" i="22740"/>
  <c r="F36" i="22740" s="1"/>
  <c r="M26" i="22740"/>
  <c r="AA26" i="22740"/>
  <c r="AH26" i="22740"/>
  <c r="AV26" i="22740"/>
  <c r="BJ26" i="22740"/>
  <c r="BX26" i="22740"/>
  <c r="CL26" i="22740"/>
  <c r="CZ26" i="22740"/>
  <c r="CZ36" i="22740" s="1"/>
  <c r="DN26" i="22740"/>
  <c r="EB26" i="22740"/>
  <c r="B53" i="22738"/>
  <c r="AN9" i="22740"/>
  <c r="AO9" i="22740" s="1"/>
  <c r="DD10" i="22740"/>
  <c r="DD12" i="22740" s="1"/>
  <c r="DG30" i="22740"/>
  <c r="DG33" i="22740" s="1"/>
  <c r="E146" i="22739"/>
  <c r="F142" i="22739"/>
  <c r="H101" i="22743"/>
  <c r="D103" i="22743"/>
  <c r="AH14" i="3"/>
  <c r="AG12" i="3"/>
  <c r="B54" i="1"/>
  <c r="AN9" i="3"/>
  <c r="AO9" i="3" s="1"/>
  <c r="AO12" i="3" s="1"/>
  <c r="C55" i="1"/>
  <c r="AU10" i="3"/>
  <c r="AV10" i="3" s="1"/>
  <c r="C53" i="22738"/>
  <c r="AN10" i="22740"/>
  <c r="AO10" i="22740" s="1"/>
  <c r="BX33" i="22740"/>
  <c r="AH62" i="3"/>
  <c r="M62" i="3"/>
  <c r="E149" i="2"/>
  <c r="F146" i="2"/>
  <c r="AA14" i="3"/>
  <c r="Z12" i="3"/>
  <c r="AL60" i="22740"/>
  <c r="AM60" i="22740" s="1"/>
  <c r="AK62" i="22740" s="1"/>
  <c r="J60" i="22740"/>
  <c r="K60" i="22740" s="1"/>
  <c r="I62" i="22740" s="1"/>
  <c r="BU60" i="22740"/>
  <c r="BV60" i="22740" s="1"/>
  <c r="DD60" i="22740"/>
  <c r="DE60" i="22740" s="1"/>
  <c r="DE62" i="22740" s="1"/>
  <c r="CW60" i="22740"/>
  <c r="CX60" i="22740" s="1"/>
  <c r="C60" i="22740"/>
  <c r="D60" i="22740" s="1"/>
  <c r="F60" i="22740" s="1"/>
  <c r="F62" i="22740" s="1"/>
  <c r="Q60" i="22740"/>
  <c r="R60" i="22740" s="1"/>
  <c r="BN60" i="22740"/>
  <c r="BO60" i="22740" s="1"/>
  <c r="BO62" i="22740" s="1"/>
  <c r="AS60" i="22740"/>
  <c r="AT60" i="22740" s="1"/>
  <c r="X60" i="22740"/>
  <c r="Y60" i="22740" s="1"/>
  <c r="W62" i="22740" s="1"/>
  <c r="AE60" i="22740"/>
  <c r="AF60" i="22740" s="1"/>
  <c r="AF62" i="22740" s="1"/>
  <c r="DR60" i="22740"/>
  <c r="DS60" i="22740" s="1"/>
  <c r="DS62" i="22740" s="1"/>
  <c r="CI60" i="22740"/>
  <c r="CJ60" i="22740" s="1"/>
  <c r="CJ62" i="22740" s="1"/>
  <c r="CP60" i="22740"/>
  <c r="CQ60" i="22740" s="1"/>
  <c r="CQ62" i="22740" s="1"/>
  <c r="BG60" i="22740"/>
  <c r="BH60" i="22740" s="1"/>
  <c r="BH62" i="22740" s="1"/>
  <c r="DK60" i="22740"/>
  <c r="DL60" i="22740" s="1"/>
  <c r="DL62" i="22740" s="1"/>
  <c r="DY60" i="22740"/>
  <c r="DZ60" i="22740" s="1"/>
  <c r="DZ62" i="22740" s="1"/>
  <c r="C59" i="22741"/>
  <c r="D59" i="22741" s="1"/>
  <c r="AZ60" i="22740"/>
  <c r="BA60" i="22740" s="1"/>
  <c r="BA62" i="22740" s="1"/>
  <c r="EF60" i="22740"/>
  <c r="EG60" i="22740" s="1"/>
  <c r="EG62" i="22740" s="1"/>
  <c r="CB60" i="22740"/>
  <c r="CC60" i="22740" s="1"/>
  <c r="CC62" i="22740" s="1"/>
  <c r="T33" i="22740"/>
  <c r="AS12" i="22740"/>
  <c r="M12" i="22740"/>
  <c r="M14" i="22740" s="1"/>
  <c r="T68" i="22740"/>
  <c r="C8" i="4"/>
  <c r="C11" i="4" s="1"/>
  <c r="F28" i="4"/>
  <c r="D58" i="4"/>
  <c r="F29" i="4"/>
  <c r="D41" i="4"/>
  <c r="D46" i="4" s="1"/>
  <c r="F46" i="4" s="1"/>
  <c r="DG42" i="3"/>
  <c r="DG46" i="3" s="1"/>
  <c r="DE46" i="3"/>
  <c r="DE47" i="3" s="1"/>
  <c r="DG47" i="3" s="1"/>
  <c r="DG33" i="3"/>
  <c r="DG36" i="3" s="1"/>
  <c r="DG60" i="3"/>
  <c r="DC62" i="3"/>
  <c r="DE62" i="3"/>
  <c r="M33" i="22740"/>
  <c r="CI12" i="22740"/>
  <c r="AV33" i="22740"/>
  <c r="K62" i="22740"/>
  <c r="BN12" i="22740"/>
  <c r="CP12" i="22740"/>
  <c r="F12" i="22740"/>
  <c r="BJ33" i="22740"/>
  <c r="DY12" i="22740"/>
  <c r="AE12" i="22740"/>
  <c r="AO33" i="22740"/>
  <c r="DR12" i="22740"/>
  <c r="CL33" i="22740"/>
  <c r="DK12" i="22740"/>
  <c r="AL12" i="22740"/>
  <c r="DN33" i="22740"/>
  <c r="CE33" i="22740"/>
  <c r="BM62" i="22740"/>
  <c r="C12" i="22740"/>
  <c r="F56" i="2"/>
  <c r="F71" i="2"/>
  <c r="F58" i="2"/>
  <c r="F65" i="2"/>
  <c r="F69" i="2"/>
  <c r="F60" i="2"/>
  <c r="F55" i="2"/>
  <c r="F52" i="2"/>
  <c r="F62" i="2"/>
  <c r="F57" i="2"/>
  <c r="F59" i="2"/>
  <c r="F54" i="2"/>
  <c r="F61" i="2"/>
  <c r="F53" i="2"/>
  <c r="F63" i="2"/>
  <c r="F66" i="2"/>
  <c r="F67" i="2"/>
  <c r="E73" i="2"/>
  <c r="E74" i="2" s="1"/>
  <c r="AH33" i="22740"/>
  <c r="CB12" i="22740"/>
  <c r="BQ33" i="22740"/>
  <c r="AZ12" i="22740"/>
  <c r="EF12" i="22740"/>
  <c r="CS33" i="22740"/>
  <c r="AA33" i="22740"/>
  <c r="C9" i="22741"/>
  <c r="AH12" i="22740"/>
  <c r="C10" i="22741"/>
  <c r="F28" i="22741"/>
  <c r="F10" i="22741"/>
  <c r="D38" i="22715" s="1"/>
  <c r="BC33" i="22740"/>
  <c r="DU33" i="22740"/>
  <c r="AA12" i="22740"/>
  <c r="EB33" i="22740"/>
  <c r="X12" i="22740"/>
  <c r="F29" i="22741"/>
  <c r="F30" i="22741"/>
  <c r="C8" i="22741"/>
  <c r="D42" i="22741"/>
  <c r="EI33" i="22740"/>
  <c r="BG12" i="22740"/>
  <c r="H184" i="22715"/>
  <c r="B150" i="4"/>
  <c r="C148" i="4" s="1"/>
  <c r="H189" i="22715" s="1"/>
  <c r="F14" i="22740" l="1"/>
  <c r="D26" i="22742" s="1"/>
  <c r="T36" i="22740"/>
  <c r="BX36" i="22740"/>
  <c r="AH36" i="22740"/>
  <c r="M36" i="22740"/>
  <c r="AV36" i="22740"/>
  <c r="AA36" i="22740"/>
  <c r="CE36" i="22740"/>
  <c r="EB36" i="22740"/>
  <c r="EI36" i="22740"/>
  <c r="DG36" i="22740"/>
  <c r="BC36" i="22740"/>
  <c r="DN36" i="22740"/>
  <c r="CL36" i="22740"/>
  <c r="BJ36" i="22740"/>
  <c r="DU36" i="22740"/>
  <c r="CS36" i="22740"/>
  <c r="BQ36" i="22740"/>
  <c r="AO36" i="22740"/>
  <c r="AO12" i="22740"/>
  <c r="AU9" i="22740"/>
  <c r="AV9" i="22740" s="1"/>
  <c r="B54" i="22738"/>
  <c r="CS60" i="22740"/>
  <c r="CS62" i="22740" s="1"/>
  <c r="F32" i="22741"/>
  <c r="K41" i="22741"/>
  <c r="D47" i="22741"/>
  <c r="F47" i="22741" s="1"/>
  <c r="DG50" i="3"/>
  <c r="BF62" i="22740"/>
  <c r="D61" i="22741"/>
  <c r="D62" i="22715" s="1"/>
  <c r="F59" i="22741"/>
  <c r="F61" i="22741" s="1"/>
  <c r="CO62" i="22740"/>
  <c r="D62" i="22740"/>
  <c r="Y62" i="22740"/>
  <c r="C105" i="22743"/>
  <c r="H105" i="22743" s="1"/>
  <c r="H103" i="22743"/>
  <c r="B62" i="22740"/>
  <c r="AA60" i="22740"/>
  <c r="AA62" i="22740" s="1"/>
  <c r="E149" i="22739"/>
  <c r="F149" i="22739" s="1"/>
  <c r="F146" i="22739"/>
  <c r="DC62" i="22740"/>
  <c r="AN12" i="3"/>
  <c r="AO14" i="3"/>
  <c r="AO68" i="3" s="1"/>
  <c r="AU9" i="3"/>
  <c r="AV9" i="3" s="1"/>
  <c r="AV12" i="3" s="1"/>
  <c r="B55" i="1"/>
  <c r="AH68" i="3"/>
  <c r="D30" i="22714"/>
  <c r="BB10" i="3"/>
  <c r="BC10" i="3" s="1"/>
  <c r="C56" i="1"/>
  <c r="F149" i="2"/>
  <c r="F70" i="3"/>
  <c r="E64" i="3" s="1"/>
  <c r="F64" i="3" s="1"/>
  <c r="F65" i="3" s="1"/>
  <c r="F66" i="3" s="1"/>
  <c r="F67" i="3" s="1"/>
  <c r="M60" i="22740"/>
  <c r="M62" i="22740" s="1"/>
  <c r="DX62" i="22740"/>
  <c r="EI60" i="22740"/>
  <c r="EI62" i="22740" s="1"/>
  <c r="L12" i="22740"/>
  <c r="AM62" i="22740"/>
  <c r="CA62" i="22740"/>
  <c r="AO60" i="22740"/>
  <c r="AO62" i="22740" s="1"/>
  <c r="CH62" i="22740"/>
  <c r="CL60" i="22740"/>
  <c r="CL62" i="22740" s="1"/>
  <c r="EB60" i="22740"/>
  <c r="EB62" i="22740" s="1"/>
  <c r="CE60" i="22740"/>
  <c r="CE62" i="22740" s="1"/>
  <c r="C54" i="22738"/>
  <c r="AU10" i="22740"/>
  <c r="AV10" i="22740" s="1"/>
  <c r="DG62" i="3"/>
  <c r="BC60" i="22740"/>
  <c r="BC62" i="22740" s="1"/>
  <c r="BJ60" i="22740"/>
  <c r="BJ62" i="22740" s="1"/>
  <c r="AA68" i="3"/>
  <c r="D29" i="22714"/>
  <c r="AY62" i="22740"/>
  <c r="DQ62" i="22740"/>
  <c r="DJ62" i="22740"/>
  <c r="EE62" i="22740"/>
  <c r="DU60" i="22740"/>
  <c r="DU62" i="22740" s="1"/>
  <c r="T60" i="22740"/>
  <c r="T62" i="22740" s="1"/>
  <c r="P62" i="22740"/>
  <c r="R62" i="22740"/>
  <c r="BV62" i="22740"/>
  <c r="BX60" i="22740"/>
  <c r="BX62" i="22740" s="1"/>
  <c r="BT62" i="22740"/>
  <c r="AH60" i="22740"/>
  <c r="AH62" i="22740" s="1"/>
  <c r="AD62" i="22740"/>
  <c r="DG60" i="22740"/>
  <c r="DG62" i="22740" s="1"/>
  <c r="BQ60" i="22740"/>
  <c r="BQ62" i="22740" s="1"/>
  <c r="DN60" i="22740"/>
  <c r="DN62" i="22740" s="1"/>
  <c r="AT62" i="22740"/>
  <c r="AV60" i="22740"/>
  <c r="AV62" i="22740" s="1"/>
  <c r="AR62" i="22740"/>
  <c r="CX62" i="22740"/>
  <c r="CV62" i="22740"/>
  <c r="CZ60" i="22740"/>
  <c r="CZ62" i="22740" s="1"/>
  <c r="B60" i="4"/>
  <c r="D60" i="4"/>
  <c r="F58" i="4"/>
  <c r="F60" i="4" s="1"/>
  <c r="B71" i="22715"/>
  <c r="F31" i="4"/>
  <c r="K40" i="4"/>
  <c r="B157" i="4"/>
  <c r="D44" i="4"/>
  <c r="D45" i="4" s="1"/>
  <c r="F40" i="4"/>
  <c r="F77" i="22741"/>
  <c r="J67" i="22715" s="1"/>
  <c r="AO14" i="22740"/>
  <c r="AN12" i="22740"/>
  <c r="D27" i="22742"/>
  <c r="M68" i="22740"/>
  <c r="Z12" i="22740"/>
  <c r="AA14" i="22740"/>
  <c r="D71" i="22715"/>
  <c r="B61" i="22741"/>
  <c r="B88" i="22741"/>
  <c r="J76" i="22715" s="1"/>
  <c r="C11" i="22741"/>
  <c r="AH14" i="22740"/>
  <c r="AG12" i="22740"/>
  <c r="H186" i="22715"/>
  <c r="H168" i="22715"/>
  <c r="C150" i="4"/>
  <c r="C147" i="4"/>
  <c r="H188" i="22715" s="1"/>
  <c r="C149" i="4"/>
  <c r="H190" i="22715" s="1"/>
  <c r="F68" i="22740" l="1"/>
  <c r="AV12" i="22740"/>
  <c r="AU12" i="22740" s="1"/>
  <c r="BB9" i="22740"/>
  <c r="BC9" i="22740" s="1"/>
  <c r="B55" i="22738"/>
  <c r="D31" i="22714"/>
  <c r="H110" i="22743"/>
  <c r="AU12" i="3"/>
  <c r="AV14" i="3"/>
  <c r="D32" i="22714" s="1"/>
  <c r="BB9" i="3"/>
  <c r="BC9" i="3" s="1"/>
  <c r="BC12" i="3" s="1"/>
  <c r="B56" i="1"/>
  <c r="BI10" i="3"/>
  <c r="BJ10" i="3" s="1"/>
  <c r="C57" i="1"/>
  <c r="BB10" i="22740"/>
  <c r="BC10" i="22740" s="1"/>
  <c r="C55" i="22738"/>
  <c r="B48" i="22715"/>
  <c r="C25" i="22714"/>
  <c r="E25" i="22714" s="1"/>
  <c r="F25" i="22714" s="1"/>
  <c r="J25" i="22714"/>
  <c r="B156" i="4"/>
  <c r="F44" i="4"/>
  <c r="K45" i="4"/>
  <c r="K47" i="4" s="1"/>
  <c r="F45" i="4"/>
  <c r="C51" i="22714"/>
  <c r="C52" i="22714" s="1"/>
  <c r="B65" i="22715"/>
  <c r="B62" i="22715"/>
  <c r="F76" i="4"/>
  <c r="H67" i="22715" s="1"/>
  <c r="I67" i="22715" s="1"/>
  <c r="B87" i="4"/>
  <c r="H76" i="22715" s="1"/>
  <c r="I76" i="22715" s="1"/>
  <c r="B159" i="4"/>
  <c r="B165" i="4" s="1"/>
  <c r="B103" i="4"/>
  <c r="B68" i="22715"/>
  <c r="B63" i="22715"/>
  <c r="AO68" i="22740"/>
  <c r="D31" i="22742"/>
  <c r="B160" i="22741"/>
  <c r="B166" i="22741" s="1"/>
  <c r="J234" i="22715" s="1"/>
  <c r="B104" i="22741"/>
  <c r="B106" i="22741" s="1"/>
  <c r="D68" i="22715"/>
  <c r="D63" i="22715"/>
  <c r="C51" i="22742"/>
  <c r="C52" i="22742" s="1"/>
  <c r="D65" i="22715"/>
  <c r="D30" i="22742"/>
  <c r="AH68" i="22740"/>
  <c r="C71" i="22715"/>
  <c r="D70" i="22715"/>
  <c r="D29" i="22742"/>
  <c r="AA68" i="22740"/>
  <c r="F48" i="4" l="1"/>
  <c r="AV14" i="22740"/>
  <c r="D32" i="22742" s="1"/>
  <c r="BC12" i="22740"/>
  <c r="BB12" i="22740" s="1"/>
  <c r="B56" i="22738"/>
  <c r="BI9" i="22740"/>
  <c r="BJ9" i="22740" s="1"/>
  <c r="AV68" i="3"/>
  <c r="BB12" i="3"/>
  <c r="BC14" i="3"/>
  <c r="D33" i="22714" s="1"/>
  <c r="B57" i="1"/>
  <c r="BI9" i="3"/>
  <c r="BJ9" i="3" s="1"/>
  <c r="BJ12" i="3" s="1"/>
  <c r="BJ14" i="3" s="1"/>
  <c r="BP10" i="3"/>
  <c r="BQ10" i="3" s="1"/>
  <c r="C58" i="1"/>
  <c r="C59" i="1" s="1"/>
  <c r="BW10" i="3"/>
  <c r="BX10" i="3" s="1"/>
  <c r="C56" i="22738"/>
  <c r="BI10" i="22740"/>
  <c r="BJ10" i="22740" s="1"/>
  <c r="G25" i="22714"/>
  <c r="C63" i="22715"/>
  <c r="C65" i="22715"/>
  <c r="B109" i="4"/>
  <c r="B105" i="4"/>
  <c r="C103" i="4" s="1"/>
  <c r="B164" i="4"/>
  <c r="B160" i="4"/>
  <c r="H213" i="22715" s="1"/>
  <c r="C68" i="22715"/>
  <c r="H234" i="22715"/>
  <c r="I234" i="22715" s="1"/>
  <c r="B70" i="22715"/>
  <c r="C70" i="22715" s="1"/>
  <c r="C62" i="22715"/>
  <c r="H34" i="22715"/>
  <c r="C103" i="22741"/>
  <c r="C101" i="22741"/>
  <c r="C100" i="22741"/>
  <c r="C102" i="22741"/>
  <c r="B114" i="22741"/>
  <c r="C106" i="22741"/>
  <c r="C105" i="22741"/>
  <c r="C99" i="22741"/>
  <c r="B110" i="22741"/>
  <c r="C104" i="22741"/>
  <c r="BC14" i="22740" l="1"/>
  <c r="AV68" i="22740"/>
  <c r="BJ12" i="22740"/>
  <c r="BJ14" i="22740" s="1"/>
  <c r="BP9" i="22740"/>
  <c r="BQ9" i="22740" s="1"/>
  <c r="B57" i="22738"/>
  <c r="BC68" i="3"/>
  <c r="BI12" i="3"/>
  <c r="B58" i="1"/>
  <c r="BP9" i="3"/>
  <c r="BQ9" i="3" s="1"/>
  <c r="BQ12" i="3" s="1"/>
  <c r="BQ14" i="3" s="1"/>
  <c r="CD10" i="3"/>
  <c r="CE10" i="3" s="1"/>
  <c r="C60" i="1"/>
  <c r="BJ68" i="3"/>
  <c r="D34" i="22714"/>
  <c r="BC68" i="22740"/>
  <c r="D33" i="22742"/>
  <c r="C57" i="22738"/>
  <c r="C58" i="22738" s="1"/>
  <c r="BW10" i="22740"/>
  <c r="BX10" i="22740" s="1"/>
  <c r="BP10" i="22740"/>
  <c r="BQ10" i="22740" s="1"/>
  <c r="H233" i="22715"/>
  <c r="B166" i="4"/>
  <c r="C164" i="4" s="1"/>
  <c r="H238" i="22715" s="1"/>
  <c r="H101" i="22715"/>
  <c r="C99" i="4"/>
  <c r="C104" i="4"/>
  <c r="C98" i="4"/>
  <c r="B113" i="4"/>
  <c r="C101" i="4"/>
  <c r="C100" i="4"/>
  <c r="C105" i="4"/>
  <c r="C102" i="4"/>
  <c r="B25" i="22715"/>
  <c r="C25" i="22715" s="1"/>
  <c r="D26" i="22739" s="1"/>
  <c r="B118" i="4"/>
  <c r="H119" i="22715" s="1"/>
  <c r="C111" i="22741"/>
  <c r="J108" i="22715" s="1"/>
  <c r="C114" i="22741"/>
  <c r="C112" i="22741"/>
  <c r="J109" i="22715" s="1"/>
  <c r="J101" i="22715"/>
  <c r="B113" i="22741"/>
  <c r="C110" i="22741"/>
  <c r="J107" i="22715" s="1"/>
  <c r="BI12" i="22740" l="1"/>
  <c r="BQ12" i="22740"/>
  <c r="B58" i="22738"/>
  <c r="BW9" i="22740"/>
  <c r="BX9" i="22740" s="1"/>
  <c r="BX12" i="22740" s="1"/>
  <c r="G49" i="3"/>
  <c r="G48" i="3"/>
  <c r="AB48" i="3"/>
  <c r="BD48" i="3"/>
  <c r="CF48" i="3"/>
  <c r="DH48" i="3"/>
  <c r="EJ48" i="3"/>
  <c r="AI48" i="3"/>
  <c r="BK48" i="3"/>
  <c r="CM48" i="3"/>
  <c r="DO48" i="3"/>
  <c r="N48" i="3"/>
  <c r="AP48" i="3"/>
  <c r="BR48" i="3"/>
  <c r="CT48" i="3"/>
  <c r="DV48" i="3"/>
  <c r="U48" i="3"/>
  <c r="AW48" i="3"/>
  <c r="BY48" i="3"/>
  <c r="DA48" i="3"/>
  <c r="EC48" i="3"/>
  <c r="G59" i="3"/>
  <c r="BP12" i="3"/>
  <c r="BW9" i="3"/>
  <c r="BX9" i="3" s="1"/>
  <c r="BX12" i="3" s="1"/>
  <c r="B59" i="1"/>
  <c r="C61" i="1"/>
  <c r="CK10" i="3"/>
  <c r="CL10" i="3" s="1"/>
  <c r="BQ68" i="3"/>
  <c r="D35" i="22714"/>
  <c r="D34" i="22742"/>
  <c r="BJ68" i="22740"/>
  <c r="CD10" i="22740"/>
  <c r="CE10" i="22740" s="1"/>
  <c r="C59" i="22738"/>
  <c r="BQ14" i="22740"/>
  <c r="BP12" i="22740"/>
  <c r="L45" i="22740"/>
  <c r="M45" i="22740" s="1"/>
  <c r="CR41" i="22740"/>
  <c r="CS41" i="22740" s="1"/>
  <c r="E42" i="22740"/>
  <c r="F42" i="22740" s="1"/>
  <c r="BI40" i="22740"/>
  <c r="BJ40" i="22740" s="1"/>
  <c r="DT45" i="22740"/>
  <c r="DU45" i="22740" s="1"/>
  <c r="DT41" i="22740"/>
  <c r="DU41" i="22740" s="1"/>
  <c r="E40" i="22740"/>
  <c r="F40" i="22740" s="1"/>
  <c r="AG39" i="22740"/>
  <c r="AH39" i="22740" s="1"/>
  <c r="CY40" i="22740"/>
  <c r="CZ40" i="22740" s="1"/>
  <c r="CR39" i="22740"/>
  <c r="CS39" i="22740" s="1"/>
  <c r="BB40" i="22740"/>
  <c r="BC40" i="22740" s="1"/>
  <c r="CK41" i="22740"/>
  <c r="CL41" i="22740" s="1"/>
  <c r="DM42" i="22740"/>
  <c r="DN42" i="22740" s="1"/>
  <c r="AN47" i="22740"/>
  <c r="EH47" i="22740"/>
  <c r="BW39" i="22740"/>
  <c r="BX39" i="22740" s="1"/>
  <c r="DT40" i="22740"/>
  <c r="DU40" i="22740" s="1"/>
  <c r="Z40" i="22740"/>
  <c r="AA40" i="22740" s="1"/>
  <c r="EH45" i="22740"/>
  <c r="EI45" i="22740" s="1"/>
  <c r="E40" i="22741"/>
  <c r="F40" i="22741" s="1"/>
  <c r="DM41" i="22740"/>
  <c r="DN41" i="22740" s="1"/>
  <c r="EH40" i="22740"/>
  <c r="EI40" i="22740" s="1"/>
  <c r="CR40" i="22740"/>
  <c r="CS40" i="22740" s="1"/>
  <c r="E26" i="22739"/>
  <c r="S41" i="22740"/>
  <c r="T41" i="22740" s="1"/>
  <c r="CY41" i="22740"/>
  <c r="CZ41" i="22740" s="1"/>
  <c r="CR42" i="22740"/>
  <c r="CS42" i="22740" s="1"/>
  <c r="DT39" i="22740"/>
  <c r="DU39" i="22740" s="1"/>
  <c r="Z44" i="22740"/>
  <c r="EH43" i="22740"/>
  <c r="AG43" i="22740"/>
  <c r="BB43" i="22740"/>
  <c r="CK47" i="22740"/>
  <c r="Z41" i="22740"/>
  <c r="AA41" i="22740" s="1"/>
  <c r="CD43" i="22740"/>
  <c r="S45" i="22740"/>
  <c r="T45" i="22740" s="1"/>
  <c r="EA43" i="22740"/>
  <c r="S47" i="22740"/>
  <c r="EA41" i="22740"/>
  <c r="EB41" i="22740" s="1"/>
  <c r="BI43" i="22740"/>
  <c r="Z43" i="22740"/>
  <c r="E41" i="22740"/>
  <c r="F41" i="22740" s="1"/>
  <c r="DM45" i="22740"/>
  <c r="DN45" i="22740" s="1"/>
  <c r="DF39" i="22740"/>
  <c r="DG39" i="22740" s="1"/>
  <c r="DF44" i="22740"/>
  <c r="DG44" i="22740" s="1"/>
  <c r="CD45" i="22740"/>
  <c r="CE45" i="22740" s="1"/>
  <c r="E44" i="22741"/>
  <c r="F44" i="22741" s="1"/>
  <c r="BW45" i="22740"/>
  <c r="BX45" i="22740" s="1"/>
  <c r="D27" i="22739"/>
  <c r="E27" i="22739" s="1"/>
  <c r="D29" i="22739"/>
  <c r="E29" i="22739" s="1"/>
  <c r="E39" i="22741"/>
  <c r="L39" i="22740"/>
  <c r="M39" i="22740" s="1"/>
  <c r="DM47" i="22740"/>
  <c r="BB44" i="22740"/>
  <c r="DM39" i="22740"/>
  <c r="DN39" i="22740" s="1"/>
  <c r="DM40" i="22740"/>
  <c r="DN40" i="22740" s="1"/>
  <c r="L47" i="22740"/>
  <c r="S43" i="22740"/>
  <c r="BP43" i="22740"/>
  <c r="BP40" i="22740"/>
  <c r="BQ40" i="22740" s="1"/>
  <c r="S39" i="22740"/>
  <c r="T39" i="22740" s="1"/>
  <c r="BI41" i="22740"/>
  <c r="BJ41" i="22740" s="1"/>
  <c r="AN39" i="22740"/>
  <c r="AO39" i="22740" s="1"/>
  <c r="CK40" i="22740"/>
  <c r="CL40" i="22740" s="1"/>
  <c r="AU47" i="22740"/>
  <c r="DF41" i="22740"/>
  <c r="DG41" i="22740" s="1"/>
  <c r="Z45" i="22740"/>
  <c r="AA45" i="22740" s="1"/>
  <c r="BP47" i="22740"/>
  <c r="CD44" i="22740"/>
  <c r="CE44" i="22740" s="1"/>
  <c r="CR44" i="22740"/>
  <c r="CS44" i="22740" s="1"/>
  <c r="DF45" i="22740"/>
  <c r="DG45" i="22740" s="1"/>
  <c r="E44" i="22740"/>
  <c r="F44" i="22740" s="1"/>
  <c r="CD41" i="22740"/>
  <c r="CE41" i="22740" s="1"/>
  <c r="CY47" i="22740"/>
  <c r="CK42" i="22740"/>
  <c r="CL42" i="22740" s="1"/>
  <c r="AN40" i="22740"/>
  <c r="AO40" i="22740" s="1"/>
  <c r="D30" i="22739"/>
  <c r="L40" i="22740"/>
  <c r="M40" i="22740" s="1"/>
  <c r="E41" i="22741"/>
  <c r="F41" i="22741" s="1"/>
  <c r="B157" i="22741" s="1"/>
  <c r="CK45" i="22740"/>
  <c r="CL45" i="22740" s="1"/>
  <c r="BW41" i="22740"/>
  <c r="BX41" i="22740" s="1"/>
  <c r="CY45" i="22740"/>
  <c r="CZ45" i="22740" s="1"/>
  <c r="DM44" i="22740"/>
  <c r="DN44" i="22740" s="1"/>
  <c r="CR47" i="22740"/>
  <c r="EA44" i="22740"/>
  <c r="EB44" i="22740" s="1"/>
  <c r="BW47" i="22740"/>
  <c r="AG44" i="22740"/>
  <c r="BP45" i="22740"/>
  <c r="BQ45" i="22740" s="1"/>
  <c r="BI44" i="22740"/>
  <c r="BJ44" i="22740" s="1"/>
  <c r="CY42" i="22740"/>
  <c r="CZ42" i="22740" s="1"/>
  <c r="EH44" i="22740"/>
  <c r="EI44" i="22740" s="1"/>
  <c r="L43" i="22740"/>
  <c r="CK43" i="22740"/>
  <c r="DF43" i="22740"/>
  <c r="DT47" i="22740"/>
  <c r="E39" i="22740"/>
  <c r="F39" i="22740" s="1"/>
  <c r="E43" i="22740"/>
  <c r="BB47" i="22740"/>
  <c r="AN44" i="22740"/>
  <c r="AG41" i="22740"/>
  <c r="AH41" i="22740" s="1"/>
  <c r="DT42" i="22740"/>
  <c r="DU42" i="22740" s="1"/>
  <c r="D32" i="22739"/>
  <c r="DM43" i="22740"/>
  <c r="AU45" i="22740"/>
  <c r="AV45" i="22740" s="1"/>
  <c r="CD47" i="22740"/>
  <c r="AU43" i="22740"/>
  <c r="AG45" i="22740"/>
  <c r="AH45" i="22740" s="1"/>
  <c r="L41" i="22740"/>
  <c r="M41" i="22740" s="1"/>
  <c r="DF47" i="22740"/>
  <c r="BI47" i="22740"/>
  <c r="BP44" i="22740"/>
  <c r="BQ44" i="22740" s="1"/>
  <c r="DF40" i="22740"/>
  <c r="DG40" i="22740" s="1"/>
  <c r="E46" i="22741"/>
  <c r="B138" i="22741" s="1"/>
  <c r="BW42" i="22740"/>
  <c r="BX42" i="22740" s="1"/>
  <c r="S44" i="22740"/>
  <c r="BP41" i="22740"/>
  <c r="BQ41" i="22740" s="1"/>
  <c r="AG42" i="22740"/>
  <c r="AH42" i="22740" s="1"/>
  <c r="BI42" i="22740"/>
  <c r="BJ42" i="22740" s="1"/>
  <c r="E43" i="22741"/>
  <c r="F43" i="22741" s="1"/>
  <c r="DT43" i="22740"/>
  <c r="BB42" i="22740"/>
  <c r="BC42" i="22740" s="1"/>
  <c r="Z47" i="22740"/>
  <c r="L44" i="22740"/>
  <c r="CD40" i="22740"/>
  <c r="CE40" i="22740" s="1"/>
  <c r="BI39" i="22740"/>
  <c r="BJ39" i="22740" s="1"/>
  <c r="AU41" i="22740"/>
  <c r="AV41" i="22740" s="1"/>
  <c r="AU39" i="22740"/>
  <c r="AV39" i="22740" s="1"/>
  <c r="AU40" i="22740"/>
  <c r="AV40" i="22740" s="1"/>
  <c r="EA47" i="22740"/>
  <c r="BP39" i="22740"/>
  <c r="BQ39" i="22740" s="1"/>
  <c r="AN42" i="22740"/>
  <c r="AO42" i="22740" s="1"/>
  <c r="CY44" i="22740"/>
  <c r="CZ44" i="22740" s="1"/>
  <c r="AU44" i="22740"/>
  <c r="EA40" i="22740"/>
  <c r="EB40" i="22740" s="1"/>
  <c r="E45" i="22740"/>
  <c r="F45" i="22740" s="1"/>
  <c r="BB41" i="22740"/>
  <c r="BC41" i="22740" s="1"/>
  <c r="D28" i="22739"/>
  <c r="E28" i="22739" s="1"/>
  <c r="CY39" i="22740"/>
  <c r="CZ39" i="22740" s="1"/>
  <c r="BP42" i="22740"/>
  <c r="BQ42" i="22740" s="1"/>
  <c r="BW40" i="22740"/>
  <c r="BX40" i="22740" s="1"/>
  <c r="EH42" i="22740"/>
  <c r="EI42" i="22740" s="1"/>
  <c r="CR45" i="22740"/>
  <c r="CS45" i="22740" s="1"/>
  <c r="EA42" i="22740"/>
  <c r="EB42" i="22740" s="1"/>
  <c r="AG47" i="22740"/>
  <c r="EA39" i="22740"/>
  <c r="EB39" i="22740" s="1"/>
  <c r="BW44" i="22740"/>
  <c r="BX44" i="22740" s="1"/>
  <c r="E47" i="22740"/>
  <c r="BB39" i="22740"/>
  <c r="BC39" i="22740" s="1"/>
  <c r="L42" i="22740"/>
  <c r="M42" i="22740" s="1"/>
  <c r="S40" i="22740"/>
  <c r="T40" i="22740" s="1"/>
  <c r="AG40" i="22740"/>
  <c r="AH40" i="22740" s="1"/>
  <c r="BB45" i="22740"/>
  <c r="BC45" i="22740" s="1"/>
  <c r="S42" i="22740"/>
  <c r="T42" i="22740" s="1"/>
  <c r="BI45" i="22740"/>
  <c r="BJ45" i="22740" s="1"/>
  <c r="Z42" i="22740"/>
  <c r="AA42" i="22740" s="1"/>
  <c r="CR43" i="22740"/>
  <c r="BW43" i="22740"/>
  <c r="AN41" i="22740"/>
  <c r="AO41" i="22740" s="1"/>
  <c r="Z39" i="22740"/>
  <c r="AA39" i="22740" s="1"/>
  <c r="CY43" i="22740"/>
  <c r="CD39" i="22740"/>
  <c r="CE39" i="22740" s="1"/>
  <c r="EH39" i="22740"/>
  <c r="EI39" i="22740" s="1"/>
  <c r="AU42" i="22740"/>
  <c r="AV42" i="22740" s="1"/>
  <c r="AN45" i="22740"/>
  <c r="AO45" i="22740" s="1"/>
  <c r="E38" i="22741"/>
  <c r="F38" i="22741" s="1"/>
  <c r="EA45" i="22740"/>
  <c r="EB45" i="22740" s="1"/>
  <c r="EH41" i="22740"/>
  <c r="EI41" i="22740" s="1"/>
  <c r="DT44" i="22740"/>
  <c r="DU44" i="22740" s="1"/>
  <c r="DF42" i="22740"/>
  <c r="DG42" i="22740" s="1"/>
  <c r="CK44" i="22740"/>
  <c r="CL44" i="22740" s="1"/>
  <c r="E42" i="22741"/>
  <c r="CK39" i="22740"/>
  <c r="CL39" i="22740" s="1"/>
  <c r="AN43" i="22740"/>
  <c r="CD42" i="22740"/>
  <c r="CE42" i="22740" s="1"/>
  <c r="C166" i="4"/>
  <c r="H235" i="22715"/>
  <c r="C165" i="4"/>
  <c r="H239" i="22715" s="1"/>
  <c r="B112" i="4"/>
  <c r="C113" i="4"/>
  <c r="C110" i="4"/>
  <c r="H108" i="22715" s="1"/>
  <c r="C111" i="4"/>
  <c r="H109" i="22715" s="1"/>
  <c r="C109" i="4"/>
  <c r="H107" i="22715" s="1"/>
  <c r="G28" i="3"/>
  <c r="G45" i="3"/>
  <c r="G33" i="3"/>
  <c r="G61" i="3"/>
  <c r="G39" i="3"/>
  <c r="G40" i="3"/>
  <c r="E26" i="22714"/>
  <c r="G53" i="3"/>
  <c r="G57" i="3"/>
  <c r="G60" i="3"/>
  <c r="G67" i="3"/>
  <c r="G62" i="3"/>
  <c r="G58" i="3"/>
  <c r="G63" i="3"/>
  <c r="G55" i="3"/>
  <c r="G32" i="3"/>
  <c r="G37" i="3"/>
  <c r="G50" i="3"/>
  <c r="G19" i="3"/>
  <c r="F69" i="3"/>
  <c r="G52" i="3"/>
  <c r="G46" i="3"/>
  <c r="G35" i="3"/>
  <c r="G41" i="3"/>
  <c r="G44" i="3"/>
  <c r="G17" i="3"/>
  <c r="F71" i="3"/>
  <c r="G29" i="3"/>
  <c r="G54" i="3"/>
  <c r="G30" i="3"/>
  <c r="G16" i="3"/>
  <c r="G42" i="3"/>
  <c r="G47" i="3"/>
  <c r="G56" i="3"/>
  <c r="G31" i="3"/>
  <c r="G36" i="3"/>
  <c r="G64" i="3"/>
  <c r="G65" i="3"/>
  <c r="J104" i="22715"/>
  <c r="C113" i="22741"/>
  <c r="J110" i="22715" s="1"/>
  <c r="G66" i="3"/>
  <c r="I101" i="22715"/>
  <c r="AV44" i="22740" l="1"/>
  <c r="AW44" i="22740" s="1"/>
  <c r="M44" i="22740"/>
  <c r="N44" i="22740" s="1"/>
  <c r="T44" i="22740"/>
  <c r="U44" i="22740" s="1"/>
  <c r="AO44" i="22740"/>
  <c r="AP44" i="22740" s="1"/>
  <c r="AH44" i="22740"/>
  <c r="AI44" i="22740" s="1"/>
  <c r="F39" i="22741"/>
  <c r="B137" i="22741" s="1"/>
  <c r="AA44" i="22740"/>
  <c r="AB44" i="22740" s="1"/>
  <c r="F46" i="22740"/>
  <c r="BC44" i="22740"/>
  <c r="BD44" i="22740" s="1"/>
  <c r="BX14" i="22740"/>
  <c r="BX68" i="22740" s="1"/>
  <c r="BW12" i="22740"/>
  <c r="CD9" i="22740"/>
  <c r="CE9" i="22740" s="1"/>
  <c r="CE12" i="22740" s="1"/>
  <c r="B59" i="22738"/>
  <c r="AM46" i="22740"/>
  <c r="AM47" i="22740" s="1"/>
  <c r="AO48" i="22740"/>
  <c r="BV46" i="22740"/>
  <c r="BV47" i="22740" s="1"/>
  <c r="BX47" i="22740" s="1"/>
  <c r="BX48" i="22740"/>
  <c r="DL46" i="22740"/>
  <c r="DL47" i="22740" s="1"/>
  <c r="DN48" i="22740"/>
  <c r="D46" i="22740"/>
  <c r="D47" i="22740" s="1"/>
  <c r="F47" i="22740" s="1"/>
  <c r="F48" i="22740"/>
  <c r="CJ46" i="22740"/>
  <c r="CJ47" i="22740" s="1"/>
  <c r="CL47" i="22740" s="1"/>
  <c r="CL48" i="22740"/>
  <c r="BO46" i="22740"/>
  <c r="BO47" i="22740" s="1"/>
  <c r="BQ47" i="22740" s="1"/>
  <c r="BQ48" i="22740"/>
  <c r="Y46" i="22740"/>
  <c r="Y47" i="22740" s="1"/>
  <c r="AA47" i="22740" s="1"/>
  <c r="AA48" i="22740"/>
  <c r="DZ46" i="22740"/>
  <c r="DZ47" i="22740" s="1"/>
  <c r="EB47" i="22740" s="1"/>
  <c r="EB48" i="22740"/>
  <c r="CC46" i="22740"/>
  <c r="CC47" i="22740" s="1"/>
  <c r="CE47" i="22740" s="1"/>
  <c r="CE48" i="22740"/>
  <c r="AF46" i="22740"/>
  <c r="AF47" i="22740" s="1"/>
  <c r="AH47" i="22740" s="1"/>
  <c r="AH48" i="22740"/>
  <c r="CX46" i="22740"/>
  <c r="CX47" i="22740" s="1"/>
  <c r="CZ47" i="22740" s="1"/>
  <c r="CZ48" i="22740"/>
  <c r="CQ46" i="22740"/>
  <c r="CQ47" i="22740" s="1"/>
  <c r="CS47" i="22740" s="1"/>
  <c r="CS48" i="22740"/>
  <c r="DS46" i="22740"/>
  <c r="DS47" i="22740" s="1"/>
  <c r="DU47" i="22740" s="1"/>
  <c r="DU48" i="22740"/>
  <c r="AT46" i="22740"/>
  <c r="AT47" i="22740" s="1"/>
  <c r="AV47" i="22740" s="1"/>
  <c r="AV48" i="22740"/>
  <c r="DE46" i="22740"/>
  <c r="DE47" i="22740" s="1"/>
  <c r="DG47" i="22740" s="1"/>
  <c r="DG48" i="22740"/>
  <c r="K46" i="22740"/>
  <c r="K47" i="22740" s="1"/>
  <c r="M47" i="22740" s="1"/>
  <c r="M48" i="22740"/>
  <c r="R46" i="22740"/>
  <c r="R47" i="22740" s="1"/>
  <c r="T47" i="22740" s="1"/>
  <c r="T48" i="22740"/>
  <c r="BH46" i="22740"/>
  <c r="BH47" i="22740" s="1"/>
  <c r="BJ47" i="22740" s="1"/>
  <c r="BJ48" i="22740"/>
  <c r="BA46" i="22740"/>
  <c r="BA47" i="22740" s="1"/>
  <c r="BC47" i="22740" s="1"/>
  <c r="BC48" i="22740"/>
  <c r="EG46" i="22740"/>
  <c r="EG47" i="22740" s="1"/>
  <c r="EI47" i="22740" s="1"/>
  <c r="EI48" i="22740"/>
  <c r="CD9" i="3"/>
  <c r="CE9" i="3" s="1"/>
  <c r="CE12" i="3" s="1"/>
  <c r="B60" i="1"/>
  <c r="BX14" i="3"/>
  <c r="BW12" i="3"/>
  <c r="C62" i="1"/>
  <c r="CR10" i="3"/>
  <c r="CS10" i="3" s="1"/>
  <c r="BQ68" i="22740"/>
  <c r="D35" i="22742"/>
  <c r="C60" i="22738"/>
  <c r="CK10" i="22740"/>
  <c r="CL10" i="22740" s="1"/>
  <c r="BR44" i="22740"/>
  <c r="DN47" i="22740"/>
  <c r="BY44" i="22740"/>
  <c r="AO47" i="22740"/>
  <c r="CL46" i="22740"/>
  <c r="AV46" i="22740"/>
  <c r="AO46" i="22740"/>
  <c r="DN46" i="22740"/>
  <c r="DU46" i="22740"/>
  <c r="AH46" i="22740"/>
  <c r="D45" i="22741"/>
  <c r="D46" i="22741" s="1"/>
  <c r="F46" i="22741" s="1"/>
  <c r="B158" i="22741"/>
  <c r="B165" i="22741" s="1"/>
  <c r="EI46" i="22740"/>
  <c r="CZ46" i="22740"/>
  <c r="BQ46" i="22740"/>
  <c r="D66" i="22739"/>
  <c r="E66" i="22739" s="1"/>
  <c r="E32" i="22739"/>
  <c r="CS46" i="22740"/>
  <c r="M46" i="22740"/>
  <c r="DG46" i="22740"/>
  <c r="BX46" i="22740"/>
  <c r="C112" i="4"/>
  <c r="H110" i="22715" s="1"/>
  <c r="H104" i="22715"/>
  <c r="H105" i="22715" s="1"/>
  <c r="B136" i="22741"/>
  <c r="F45" i="22741"/>
  <c r="CE46" i="22740"/>
  <c r="EB46" i="22740"/>
  <c r="BJ46" i="22740"/>
  <c r="D65" i="22739"/>
  <c r="E65" i="22739" s="1"/>
  <c r="E30" i="22739"/>
  <c r="J105" i="22715"/>
  <c r="G26" i="22714"/>
  <c r="F26" i="22714"/>
  <c r="C26" i="22714"/>
  <c r="F72" i="3"/>
  <c r="J26" i="22714" s="1"/>
  <c r="M70" i="3"/>
  <c r="L64" i="3" s="1"/>
  <c r="M64" i="3" s="1"/>
  <c r="CE14" i="22740" l="1"/>
  <c r="D37" i="22742" s="1"/>
  <c r="CD12" i="22740"/>
  <c r="F50" i="22740"/>
  <c r="D36" i="22742"/>
  <c r="T46" i="22740"/>
  <c r="BC46" i="22740"/>
  <c r="BC50" i="22740" s="1"/>
  <c r="AA46" i="22740"/>
  <c r="B139" i="22741"/>
  <c r="B144" i="22741" s="1"/>
  <c r="B60" i="22738"/>
  <c r="CK9" i="22740"/>
  <c r="CL9" i="22740" s="1"/>
  <c r="CL12" i="22740" s="1"/>
  <c r="F49" i="22741"/>
  <c r="B119" i="22741" s="1"/>
  <c r="J119" i="22715" s="1"/>
  <c r="I119" i="22715" s="1"/>
  <c r="AA50" i="22740"/>
  <c r="M50" i="22740"/>
  <c r="EB50" i="22740"/>
  <c r="BX50" i="22740"/>
  <c r="CE50" i="22740"/>
  <c r="BQ50" i="22740"/>
  <c r="EI50" i="22740"/>
  <c r="DU50" i="22740"/>
  <c r="DG50" i="22740"/>
  <c r="AH50" i="22740"/>
  <c r="AV50" i="22740"/>
  <c r="BJ50" i="22740"/>
  <c r="CZ50" i="22740"/>
  <c r="AO50" i="22740"/>
  <c r="DN50" i="22740"/>
  <c r="T50" i="22740"/>
  <c r="CS50" i="22740"/>
  <c r="CL50" i="22740"/>
  <c r="D36" i="22714"/>
  <c r="BX68" i="3"/>
  <c r="CK9" i="3"/>
  <c r="CL9" i="3" s="1"/>
  <c r="CL12" i="3" s="1"/>
  <c r="B61" i="1"/>
  <c r="CD12" i="3"/>
  <c r="CE14" i="3"/>
  <c r="CY10" i="3"/>
  <c r="CZ10" i="3" s="1"/>
  <c r="C63" i="1"/>
  <c r="CE68" i="22740"/>
  <c r="CF44" i="22740" s="1"/>
  <c r="C61" i="22738"/>
  <c r="CR10" i="22740"/>
  <c r="CS10" i="22740" s="1"/>
  <c r="B161" i="22741"/>
  <c r="J213" i="22715" s="1"/>
  <c r="I213" i="22715" s="1"/>
  <c r="E31" i="22739"/>
  <c r="E67" i="22739"/>
  <c r="I104" i="22715"/>
  <c r="K46" i="22741"/>
  <c r="K48" i="22741" s="1"/>
  <c r="J233" i="22715"/>
  <c r="I233" i="22715" s="1"/>
  <c r="B167" i="22741"/>
  <c r="B149" i="22741"/>
  <c r="I105" i="22715"/>
  <c r="M65" i="3"/>
  <c r="J34" i="22715" l="1"/>
  <c r="I34" i="22715" s="1"/>
  <c r="CK12" i="22740"/>
  <c r="CL14" i="22740"/>
  <c r="D38" i="22742" s="1"/>
  <c r="CR9" i="22740"/>
  <c r="CS9" i="22740" s="1"/>
  <c r="CS12" i="22740" s="1"/>
  <c r="B61" i="22738"/>
  <c r="CK12" i="3"/>
  <c r="CL14" i="3"/>
  <c r="CE68" i="3"/>
  <c r="D37" i="22714"/>
  <c r="CR9" i="3"/>
  <c r="CS9" i="3" s="1"/>
  <c r="CS12" i="3" s="1"/>
  <c r="B62" i="1"/>
  <c r="C64" i="1"/>
  <c r="DF10" i="3"/>
  <c r="DG10" i="3" s="1"/>
  <c r="C62" i="22738"/>
  <c r="CY10" i="22740"/>
  <c r="CZ10" i="22740" s="1"/>
  <c r="C165" i="22741"/>
  <c r="J238" i="22715" s="1"/>
  <c r="J235" i="22715"/>
  <c r="I235" i="22715" s="1"/>
  <c r="C166" i="22741"/>
  <c r="J239" i="22715" s="1"/>
  <c r="C167" i="22741"/>
  <c r="E70" i="22739"/>
  <c r="E71" i="22739" s="1"/>
  <c r="J184" i="22715"/>
  <c r="I184" i="22715" s="1"/>
  <c r="B151" i="22741"/>
  <c r="E34" i="22739"/>
  <c r="M66" i="3"/>
  <c r="M67" i="3" s="1"/>
  <c r="CL68" i="22740" l="1"/>
  <c r="CS14" i="22740"/>
  <c r="CS68" i="22740" s="1"/>
  <c r="CR12" i="22740"/>
  <c r="B62" i="22738"/>
  <c r="CY9" i="22740"/>
  <c r="CZ9" i="22740" s="1"/>
  <c r="CZ12" i="22740" s="1"/>
  <c r="B63" i="1"/>
  <c r="CY9" i="3"/>
  <c r="CZ9" i="3" s="1"/>
  <c r="CZ12" i="3" s="1"/>
  <c r="CL68" i="3"/>
  <c r="D38" i="22714"/>
  <c r="CS14" i="3"/>
  <c r="CR12" i="3"/>
  <c r="C65" i="1"/>
  <c r="DM10" i="3"/>
  <c r="DN10" i="3" s="1"/>
  <c r="D39" i="22742"/>
  <c r="C63" i="22738"/>
  <c r="DF10" i="22740"/>
  <c r="DG10" i="22740" s="1"/>
  <c r="N65" i="3"/>
  <c r="N59" i="3"/>
  <c r="N60" i="3"/>
  <c r="F67" i="22739"/>
  <c r="E47" i="22739"/>
  <c r="E48" i="22739" s="1"/>
  <c r="F34" i="22739" s="1"/>
  <c r="C148" i="22741"/>
  <c r="J188" i="22715" s="1"/>
  <c r="J186" i="22715"/>
  <c r="I186" i="22715" s="1"/>
  <c r="J168" i="22715"/>
  <c r="I168" i="22715" s="1"/>
  <c r="C150" i="22741"/>
  <c r="J190" i="22715" s="1"/>
  <c r="C151" i="22741"/>
  <c r="C149" i="22741"/>
  <c r="J189" i="22715" s="1"/>
  <c r="F70" i="22739"/>
  <c r="F71" i="22739"/>
  <c r="F58" i="22739"/>
  <c r="F69" i="22739"/>
  <c r="F57" i="22739"/>
  <c r="F59" i="22739"/>
  <c r="F52" i="22739"/>
  <c r="F63" i="22739"/>
  <c r="F62" i="22739"/>
  <c r="F56" i="22739"/>
  <c r="F53" i="22739"/>
  <c r="F54" i="22739"/>
  <c r="F60" i="22739"/>
  <c r="F61" i="22739"/>
  <c r="F55" i="22739"/>
  <c r="F65" i="22739"/>
  <c r="F66" i="22739"/>
  <c r="N66" i="3"/>
  <c r="N33" i="3"/>
  <c r="N35" i="3"/>
  <c r="N31" i="3"/>
  <c r="N30" i="3"/>
  <c r="N54" i="3"/>
  <c r="N52" i="3"/>
  <c r="N62" i="3"/>
  <c r="N41" i="3"/>
  <c r="N50" i="3"/>
  <c r="N32" i="3"/>
  <c r="N42" i="3"/>
  <c r="N53" i="3"/>
  <c r="M69" i="3"/>
  <c r="N55" i="3"/>
  <c r="N36" i="3"/>
  <c r="N37" i="3"/>
  <c r="N49" i="3"/>
  <c r="N46" i="3"/>
  <c r="N29" i="3"/>
  <c r="N39" i="3"/>
  <c r="N63" i="3"/>
  <c r="N57" i="3"/>
  <c r="N61" i="3"/>
  <c r="N58" i="3"/>
  <c r="N28" i="3"/>
  <c r="N45" i="3"/>
  <c r="N40" i="3"/>
  <c r="N67" i="3"/>
  <c r="N47" i="3"/>
  <c r="E27" i="22714"/>
  <c r="N16" i="3"/>
  <c r="N17" i="3"/>
  <c r="N44" i="3"/>
  <c r="N34" i="3"/>
  <c r="N56" i="3"/>
  <c r="N19" i="3"/>
  <c r="M71" i="3"/>
  <c r="N64" i="3"/>
  <c r="CZ14" i="22740" l="1"/>
  <c r="CZ68" i="22740" s="1"/>
  <c r="CY12" i="22740"/>
  <c r="DF9" i="22740"/>
  <c r="DG9" i="22740" s="1"/>
  <c r="DG12" i="22740" s="1"/>
  <c r="B63" i="22738"/>
  <c r="CZ14" i="3"/>
  <c r="CY12" i="3"/>
  <c r="D39" i="22714"/>
  <c r="CS68" i="3"/>
  <c r="B64" i="1"/>
  <c r="DF9" i="3"/>
  <c r="DG9" i="3" s="1"/>
  <c r="DG12" i="3" s="1"/>
  <c r="D40" i="22742"/>
  <c r="C66" i="1"/>
  <c r="DT10" i="3"/>
  <c r="DU10" i="3" s="1"/>
  <c r="DM10" i="22740"/>
  <c r="DN10" i="22740" s="1"/>
  <c r="C64" i="22738"/>
  <c r="E73" i="22739"/>
  <c r="F47" i="22739"/>
  <c r="F20" i="22739"/>
  <c r="F44" i="22739"/>
  <c r="F16" i="22739"/>
  <c r="F9" i="22739"/>
  <c r="F39" i="22739"/>
  <c r="F36" i="22739"/>
  <c r="F45" i="22739"/>
  <c r="F29" i="22739"/>
  <c r="F24" i="22739"/>
  <c r="F43" i="22739"/>
  <c r="F11" i="22739"/>
  <c r="F37" i="22739"/>
  <c r="F17" i="22739"/>
  <c r="F38" i="22739"/>
  <c r="F46" i="22739"/>
  <c r="F28" i="22739"/>
  <c r="F13" i="22739"/>
  <c r="F40" i="22739"/>
  <c r="F48" i="22739"/>
  <c r="F33" i="22739"/>
  <c r="F18" i="22739"/>
  <c r="F22" i="22739"/>
  <c r="F42" i="22739"/>
  <c r="F15" i="22739"/>
  <c r="F12" i="22739"/>
  <c r="F19" i="22739"/>
  <c r="F27" i="22739"/>
  <c r="F10" i="22739"/>
  <c r="F23" i="22739"/>
  <c r="F41" i="22739"/>
  <c r="F14" i="22739"/>
  <c r="F21" i="22739"/>
  <c r="F26" i="22739"/>
  <c r="F32" i="22739"/>
  <c r="F30" i="22739"/>
  <c r="F31" i="22739"/>
  <c r="G27" i="22714"/>
  <c r="F27" i="22714"/>
  <c r="M72" i="3"/>
  <c r="J27" i="22714" s="1"/>
  <c r="C27" i="22714"/>
  <c r="T70" i="3"/>
  <c r="S64" i="3" s="1"/>
  <c r="T64" i="3" s="1"/>
  <c r="DG14" i="22740" l="1"/>
  <c r="D41" i="22742" s="1"/>
  <c r="DF12" i="22740"/>
  <c r="DM9" i="22740"/>
  <c r="DN9" i="22740" s="1"/>
  <c r="DN12" i="22740" s="1"/>
  <c r="B64" i="22738"/>
  <c r="E74" i="22739"/>
  <c r="D48" i="22715" s="1"/>
  <c r="C48" i="22715" s="1"/>
  <c r="D40" i="22714"/>
  <c r="CZ68" i="3"/>
  <c r="B65" i="1"/>
  <c r="DM9" i="3"/>
  <c r="DN9" i="3" s="1"/>
  <c r="DN12" i="3" s="1"/>
  <c r="DF12" i="3"/>
  <c r="DG14" i="3"/>
  <c r="EA10" i="3"/>
  <c r="EB10" i="3" s="1"/>
  <c r="C67" i="1"/>
  <c r="EH10" i="3" s="1"/>
  <c r="EI10" i="3" s="1"/>
  <c r="DT10" i="22740"/>
  <c r="DU10" i="22740" s="1"/>
  <c r="C65" i="22738"/>
  <c r="T65" i="3"/>
  <c r="F70" i="22740" l="1"/>
  <c r="J25" i="22742" s="1"/>
  <c r="DG68" i="22740"/>
  <c r="DN14" i="22740"/>
  <c r="D42" i="22742" s="1"/>
  <c r="DM12" i="22740"/>
  <c r="DT9" i="22740"/>
  <c r="DU9" i="22740" s="1"/>
  <c r="DU12" i="22740" s="1"/>
  <c r="B65" i="22738"/>
  <c r="DN14" i="3"/>
  <c r="DM12" i="3"/>
  <c r="DG68" i="3"/>
  <c r="D41" i="22714"/>
  <c r="DT9" i="3"/>
  <c r="DU9" i="3" s="1"/>
  <c r="DU12" i="3" s="1"/>
  <c r="B66" i="1"/>
  <c r="C70" i="1"/>
  <c r="E9" i="4" s="1"/>
  <c r="F9" i="4" s="1"/>
  <c r="C71" i="1"/>
  <c r="DN68" i="22740"/>
  <c r="EA10" i="22740"/>
  <c r="EB10" i="22740" s="1"/>
  <c r="C66" i="22738"/>
  <c r="EH10" i="22740" s="1"/>
  <c r="EI10" i="22740" s="1"/>
  <c r="T66" i="3"/>
  <c r="T67" i="3" s="1"/>
  <c r="C25" i="22742" l="1"/>
  <c r="E25" i="22742" s="1"/>
  <c r="F25" i="22742" s="1"/>
  <c r="E64" i="22740"/>
  <c r="F64" i="22740" s="1"/>
  <c r="F65" i="22740" s="1"/>
  <c r="F66" i="22740" s="1"/>
  <c r="F67" i="22740" s="1"/>
  <c r="DT12" i="22740"/>
  <c r="DU14" i="22740"/>
  <c r="DU68" i="22740" s="1"/>
  <c r="EA9" i="22740"/>
  <c r="EB9" i="22740" s="1"/>
  <c r="EB12" i="22740" s="1"/>
  <c r="B66" i="22738"/>
  <c r="EA9" i="3"/>
  <c r="EB9" i="3" s="1"/>
  <c r="EB12" i="3" s="1"/>
  <c r="B67" i="1"/>
  <c r="EH9" i="3" s="1"/>
  <c r="EI9" i="3" s="1"/>
  <c r="EI12" i="3" s="1"/>
  <c r="DT12" i="3"/>
  <c r="DU14" i="3"/>
  <c r="D42" i="22714"/>
  <c r="DN68" i="3"/>
  <c r="B7" i="22715"/>
  <c r="C7" i="22715" s="1"/>
  <c r="F22" i="22714"/>
  <c r="B37" i="22715"/>
  <c r="C69" i="22738"/>
  <c r="E9" i="22741" s="1"/>
  <c r="F9" i="22741" s="1"/>
  <c r="D37" i="22715" s="1"/>
  <c r="G25" i="22742"/>
  <c r="C70" i="22738"/>
  <c r="F22" i="22742" s="1"/>
  <c r="U65" i="3"/>
  <c r="U59" i="3"/>
  <c r="U66" i="3"/>
  <c r="U45" i="3"/>
  <c r="U28" i="3"/>
  <c r="U17" i="3"/>
  <c r="U50" i="3"/>
  <c r="U33" i="3"/>
  <c r="U49" i="3"/>
  <c r="U19" i="3"/>
  <c r="E28" i="22714"/>
  <c r="U54" i="3"/>
  <c r="U37" i="3"/>
  <c r="U42" i="3"/>
  <c r="U62" i="3"/>
  <c r="U47" i="3"/>
  <c r="U56" i="3"/>
  <c r="U31" i="3"/>
  <c r="U63" i="3"/>
  <c r="T69" i="3"/>
  <c r="U57" i="3"/>
  <c r="U55" i="3"/>
  <c r="U30" i="3"/>
  <c r="U44" i="3"/>
  <c r="U53" i="3"/>
  <c r="U32" i="3"/>
  <c r="U34" i="3"/>
  <c r="U40" i="3"/>
  <c r="U29" i="3"/>
  <c r="U52" i="3"/>
  <c r="U46" i="3"/>
  <c r="U67" i="3"/>
  <c r="U41" i="3"/>
  <c r="U39" i="3"/>
  <c r="U16" i="3"/>
  <c r="U36" i="3"/>
  <c r="U35" i="3"/>
  <c r="U60" i="3"/>
  <c r="U58" i="3"/>
  <c r="U61" i="3"/>
  <c r="T71" i="3"/>
  <c r="U64" i="3"/>
  <c r="EA12" i="22740" l="1"/>
  <c r="EB14" i="22740"/>
  <c r="D44" i="22742" s="1"/>
  <c r="D43" i="22742"/>
  <c r="EH9" i="22740"/>
  <c r="EI9" i="22740" s="1"/>
  <c r="EI12" i="22740" s="1"/>
  <c r="EH12" i="22740" s="1"/>
  <c r="B70" i="22738"/>
  <c r="E22" i="22742" s="1"/>
  <c r="B69" i="22738"/>
  <c r="E8" i="22741" s="1"/>
  <c r="F8" i="22741" s="1"/>
  <c r="D36" i="22715" s="1"/>
  <c r="B70" i="1"/>
  <c r="E8" i="4" s="1"/>
  <c r="F8" i="4" s="1"/>
  <c r="B36" i="22715" s="1"/>
  <c r="B71" i="1"/>
  <c r="B6" i="22715" s="1"/>
  <c r="C6" i="22715" s="1"/>
  <c r="EI14" i="3"/>
  <c r="EH12" i="3"/>
  <c r="D43" i="22714"/>
  <c r="DU68" i="3"/>
  <c r="EB14" i="3"/>
  <c r="EA12" i="3"/>
  <c r="C37" i="22715"/>
  <c r="EI14" i="22740"/>
  <c r="D45" i="22742" s="1"/>
  <c r="F28" i="22714"/>
  <c r="G28" i="22714"/>
  <c r="AA70" i="3"/>
  <c r="Z64" i="3" s="1"/>
  <c r="AA64" i="3" s="1"/>
  <c r="T72" i="3"/>
  <c r="J28" i="22714" s="1"/>
  <c r="C28" i="22714"/>
  <c r="EB68" i="22740" l="1"/>
  <c r="F11" i="22741"/>
  <c r="D81" i="22741" s="1"/>
  <c r="C36" i="22715"/>
  <c r="F71" i="22740"/>
  <c r="G49" i="22740"/>
  <c r="G48" i="22740"/>
  <c r="F11" i="4"/>
  <c r="D81" i="4" s="1"/>
  <c r="E22" i="22714"/>
  <c r="EB68" i="3"/>
  <c r="D44" i="22714"/>
  <c r="EI68" i="3"/>
  <c r="D45" i="22714"/>
  <c r="EI68" i="22740"/>
  <c r="F13" i="22741"/>
  <c r="G74" i="22741" s="1"/>
  <c r="G66" i="22740"/>
  <c r="G18" i="22740"/>
  <c r="G19" i="22740"/>
  <c r="G55" i="22740"/>
  <c r="G59" i="22740"/>
  <c r="G63" i="22740"/>
  <c r="G52" i="22740"/>
  <c r="G60" i="22740"/>
  <c r="G62" i="22740"/>
  <c r="G56" i="22740"/>
  <c r="G54" i="22740"/>
  <c r="G43" i="22740"/>
  <c r="G53" i="22740"/>
  <c r="G57" i="22740"/>
  <c r="G61" i="22740"/>
  <c r="G58" i="22740"/>
  <c r="G41" i="22740"/>
  <c r="G40" i="22740"/>
  <c r="G39" i="22740"/>
  <c r="G42" i="22740"/>
  <c r="G44" i="22740"/>
  <c r="G45" i="22740"/>
  <c r="G46" i="22740"/>
  <c r="G47" i="22740"/>
  <c r="G50" i="22740"/>
  <c r="G33" i="22740"/>
  <c r="G30" i="22740"/>
  <c r="G35" i="22740"/>
  <c r="G37" i="22740"/>
  <c r="G64" i="22740"/>
  <c r="F69" i="22740"/>
  <c r="E26" i="22742"/>
  <c r="G36" i="22740"/>
  <c r="G29" i="22740"/>
  <c r="G17" i="22740"/>
  <c r="G28" i="22740"/>
  <c r="G67" i="22740"/>
  <c r="G32" i="22740"/>
  <c r="G31" i="22740"/>
  <c r="G16" i="22740"/>
  <c r="G65" i="22740"/>
  <c r="AA65" i="3"/>
  <c r="E11" i="22741" l="1"/>
  <c r="D82" i="22741"/>
  <c r="E11" i="4"/>
  <c r="F13" i="4"/>
  <c r="B34" i="22715" s="1"/>
  <c r="D80" i="4"/>
  <c r="D34" i="22715"/>
  <c r="F76" i="22741"/>
  <c r="J68" i="22715" s="1"/>
  <c r="M70" i="22740"/>
  <c r="L64" i="22740" s="1"/>
  <c r="M64" i="22740" s="1"/>
  <c r="M65" i="22740" s="1"/>
  <c r="M66" i="22740" s="1"/>
  <c r="M67" i="22740" s="1"/>
  <c r="F72" i="22740"/>
  <c r="J26" i="22742" s="1"/>
  <c r="C26" i="22742"/>
  <c r="G26" i="22742"/>
  <c r="F26" i="22742"/>
  <c r="AA66" i="3"/>
  <c r="AA67" i="3" s="1"/>
  <c r="N57" i="22740" l="1"/>
  <c r="N49" i="22740"/>
  <c r="N48" i="22740"/>
  <c r="G74" i="4"/>
  <c r="C34" i="22715"/>
  <c r="F75" i="4"/>
  <c r="H68" i="22715" s="1"/>
  <c r="I68" i="22715" s="1"/>
  <c r="N36" i="22740"/>
  <c r="N17" i="22740"/>
  <c r="E27" i="22742"/>
  <c r="F27" i="22742" s="1"/>
  <c r="N47" i="22740"/>
  <c r="N42" i="22740"/>
  <c r="N55" i="22740"/>
  <c r="N28" i="22740"/>
  <c r="N56" i="22740"/>
  <c r="N52" i="22740"/>
  <c r="N35" i="22740"/>
  <c r="N65" i="22740"/>
  <c r="M71" i="22740"/>
  <c r="M72" i="22740" s="1"/>
  <c r="J27" i="22742" s="1"/>
  <c r="N53" i="22740"/>
  <c r="N37" i="22740"/>
  <c r="N61" i="22740"/>
  <c r="AB65" i="3"/>
  <c r="AB59" i="3"/>
  <c r="N46" i="22740"/>
  <c r="N54" i="22740"/>
  <c r="M69" i="22740"/>
  <c r="N60" i="22740"/>
  <c r="N18" i="22740"/>
  <c r="N19" i="22740"/>
  <c r="N58" i="22740"/>
  <c r="N66" i="22740"/>
  <c r="N64" i="22740"/>
  <c r="N67" i="22740"/>
  <c r="N45" i="22740"/>
  <c r="N63" i="22740"/>
  <c r="N16" i="22740"/>
  <c r="N40" i="22740"/>
  <c r="N31" i="22740"/>
  <c r="N33" i="22740"/>
  <c r="N29" i="22740"/>
  <c r="N41" i="22740"/>
  <c r="N32" i="22740"/>
  <c r="N59" i="22740"/>
  <c r="N62" i="22740"/>
  <c r="N30" i="22740"/>
  <c r="N50" i="22740"/>
  <c r="N39" i="22740"/>
  <c r="AB66" i="3"/>
  <c r="AB28" i="3"/>
  <c r="AB33" i="3"/>
  <c r="AB46" i="3"/>
  <c r="AB35" i="3"/>
  <c r="E29" i="22714"/>
  <c r="AB60" i="3"/>
  <c r="AB47" i="3"/>
  <c r="AB44" i="3"/>
  <c r="AB17" i="3"/>
  <c r="AB34" i="3"/>
  <c r="AB57" i="3"/>
  <c r="AB63" i="3"/>
  <c r="AB58" i="3"/>
  <c r="AB39" i="3"/>
  <c r="AB50" i="3"/>
  <c r="AA69" i="3"/>
  <c r="AB36" i="3"/>
  <c r="AB19" i="3"/>
  <c r="AB32" i="3"/>
  <c r="AB62" i="3"/>
  <c r="AB31" i="3"/>
  <c r="AB30" i="3"/>
  <c r="AB37" i="3"/>
  <c r="AB55" i="3"/>
  <c r="AB16" i="3"/>
  <c r="AB29" i="3"/>
  <c r="AB52" i="3"/>
  <c r="AB41" i="3"/>
  <c r="AB56" i="3"/>
  <c r="AB45" i="3"/>
  <c r="AB61" i="3"/>
  <c r="AB67" i="3"/>
  <c r="AB42" i="3"/>
  <c r="AB49" i="3"/>
  <c r="AA71" i="3"/>
  <c r="AB54" i="3"/>
  <c r="AB40" i="3"/>
  <c r="AB53" i="3"/>
  <c r="AB64" i="3"/>
  <c r="T70" i="22740" l="1"/>
  <c r="S64" i="22740" s="1"/>
  <c r="T64" i="22740" s="1"/>
  <c r="T65" i="22740" s="1"/>
  <c r="G27" i="22742"/>
  <c r="C27" i="22742"/>
  <c r="AH70" i="3"/>
  <c r="C29" i="22714"/>
  <c r="AA72" i="3"/>
  <c r="J29" i="22714" s="1"/>
  <c r="G29" i="22714"/>
  <c r="F29" i="22714"/>
  <c r="AG64" i="3" l="1"/>
  <c r="AH64" i="3" s="1"/>
  <c r="AH65" i="3" s="1"/>
  <c r="T66" i="22740"/>
  <c r="AH66" i="3" l="1"/>
  <c r="T67" i="22740"/>
  <c r="U48" i="22740" s="1"/>
  <c r="U18" i="22740" l="1"/>
  <c r="U19" i="22740"/>
  <c r="U59" i="22740"/>
  <c r="BR59" i="22740"/>
  <c r="EJ59" i="22740"/>
  <c r="DA59" i="22740"/>
  <c r="BY59" i="22740"/>
  <c r="AB59" i="22740"/>
  <c r="CF59" i="22740"/>
  <c r="AW59" i="22740"/>
  <c r="DO59" i="22740"/>
  <c r="EC59" i="22740"/>
  <c r="AP59" i="22740"/>
  <c r="CT59" i="22740"/>
  <c r="BK59" i="22740"/>
  <c r="DV59" i="22740"/>
  <c r="BD59" i="22740"/>
  <c r="DH59" i="22740"/>
  <c r="CM59" i="22740"/>
  <c r="AI59" i="22740"/>
  <c r="AH67" i="3"/>
  <c r="AI36" i="3" s="1"/>
  <c r="U29" i="22740"/>
  <c r="U31" i="22740"/>
  <c r="U41" i="22740"/>
  <c r="U52" i="22740"/>
  <c r="U32" i="22740"/>
  <c r="U50" i="22740"/>
  <c r="U40" i="22740"/>
  <c r="U55" i="22740"/>
  <c r="T69" i="22740"/>
  <c r="U37" i="22740"/>
  <c r="U60" i="22740"/>
  <c r="U47" i="22740"/>
  <c r="U57" i="22740"/>
  <c r="U45" i="22740"/>
  <c r="U17" i="22740"/>
  <c r="U58" i="22740"/>
  <c r="U49" i="22740"/>
  <c r="U39" i="22740"/>
  <c r="U53" i="22740"/>
  <c r="E28" i="22742"/>
  <c r="U54" i="22740"/>
  <c r="U35" i="22740"/>
  <c r="U61" i="22740"/>
  <c r="U30" i="22740"/>
  <c r="U28" i="22740"/>
  <c r="U33" i="22740"/>
  <c r="U16" i="22740"/>
  <c r="T71" i="22740"/>
  <c r="U63" i="22740"/>
  <c r="U62" i="22740"/>
  <c r="U67" i="22740"/>
  <c r="U46" i="22740"/>
  <c r="U42" i="22740"/>
  <c r="U36" i="22740"/>
  <c r="U56" i="22740"/>
  <c r="U64" i="22740"/>
  <c r="U65" i="22740"/>
  <c r="U66" i="22740"/>
  <c r="AI18" i="3" l="1"/>
  <c r="AI19" i="3"/>
  <c r="AI66" i="3"/>
  <c r="AI59" i="3"/>
  <c r="AI60" i="3"/>
  <c r="AI29" i="3"/>
  <c r="AI57" i="3"/>
  <c r="AI35" i="3"/>
  <c r="AI42" i="3"/>
  <c r="AI28" i="3"/>
  <c r="AI63" i="3"/>
  <c r="AI56" i="3"/>
  <c r="AI46" i="3"/>
  <c r="AI37" i="3"/>
  <c r="AI33" i="3"/>
  <c r="AH71" i="3"/>
  <c r="AI54" i="3"/>
  <c r="AH69" i="3"/>
  <c r="AI53" i="3"/>
  <c r="AI17" i="3"/>
  <c r="AI34" i="3"/>
  <c r="AI32" i="3"/>
  <c r="AI62" i="3"/>
  <c r="AI30" i="3"/>
  <c r="AI58" i="3"/>
  <c r="AI67" i="3"/>
  <c r="AI50" i="3"/>
  <c r="AI55" i="3"/>
  <c r="AI61" i="3"/>
  <c r="AI49" i="3"/>
  <c r="AI16" i="3"/>
  <c r="AI44" i="3"/>
  <c r="AI41" i="3"/>
  <c r="E30" i="22714"/>
  <c r="AI52" i="3"/>
  <c r="AI40" i="3"/>
  <c r="AI45" i="3"/>
  <c r="AI31" i="3"/>
  <c r="AI39" i="3"/>
  <c r="AI47" i="3"/>
  <c r="AI64" i="3"/>
  <c r="AI65" i="3"/>
  <c r="C28" i="22742"/>
  <c r="T72" i="22740"/>
  <c r="J28" i="22742" s="1"/>
  <c r="AA70" i="22740"/>
  <c r="Z64" i="22740" s="1"/>
  <c r="AA64" i="22740" s="1"/>
  <c r="F28" i="22742"/>
  <c r="G28" i="22742"/>
  <c r="C30" i="22714" l="1"/>
  <c r="AH72" i="3"/>
  <c r="AO70" i="3"/>
  <c r="AN64" i="3" s="1"/>
  <c r="AO64" i="3" s="1"/>
  <c r="F30" i="22714"/>
  <c r="G30" i="22714"/>
  <c r="AA65" i="22740"/>
  <c r="AO65" i="3" l="1"/>
  <c r="C32" i="4"/>
  <c r="J30" i="22714"/>
  <c r="AO72" i="3"/>
  <c r="AA66" i="22740"/>
  <c r="B49" i="22715" l="1"/>
  <c r="F32" i="4"/>
  <c r="F34" i="4" s="1"/>
  <c r="E62" i="4"/>
  <c r="F62" i="4" s="1"/>
  <c r="AV72" i="3"/>
  <c r="J31" i="22714"/>
  <c r="AO66" i="3"/>
  <c r="AA67" i="22740"/>
  <c r="AB48" i="22740" l="1"/>
  <c r="AB36" i="22740"/>
  <c r="AB66" i="22740"/>
  <c r="AB18" i="22740"/>
  <c r="J32" i="22714"/>
  <c r="BC72" i="3"/>
  <c r="B94" i="4"/>
  <c r="F63" i="4"/>
  <c r="AO67" i="3"/>
  <c r="B117" i="4"/>
  <c r="H118" i="22715" s="1"/>
  <c r="B50" i="22715"/>
  <c r="AB35" i="22740"/>
  <c r="AB49" i="22740"/>
  <c r="AB45" i="22740"/>
  <c r="AB17" i="22740"/>
  <c r="AB46" i="22740"/>
  <c r="AB33" i="22740"/>
  <c r="AB37" i="22740"/>
  <c r="AB47" i="22740"/>
  <c r="AB62" i="22740"/>
  <c r="E29" i="22742"/>
  <c r="AB52" i="22740"/>
  <c r="AB40" i="22740"/>
  <c r="AB32" i="22740"/>
  <c r="AB39" i="22740"/>
  <c r="AB63" i="22740"/>
  <c r="AB28" i="22740"/>
  <c r="AB60" i="22740"/>
  <c r="AB31" i="22740"/>
  <c r="AB53" i="22740"/>
  <c r="AB19" i="22740"/>
  <c r="AA69" i="22740"/>
  <c r="AB16" i="22740"/>
  <c r="AB55" i="22740"/>
  <c r="AB54" i="22740"/>
  <c r="AA71" i="22740"/>
  <c r="AB58" i="22740"/>
  <c r="AB30" i="22740"/>
  <c r="AB41" i="22740"/>
  <c r="AB50" i="22740"/>
  <c r="AB67" i="22740"/>
  <c r="AB61" i="22740"/>
  <c r="AB57" i="22740"/>
  <c r="AB42" i="22740"/>
  <c r="AB29" i="22740"/>
  <c r="AB56" i="22740"/>
  <c r="AB64" i="22740"/>
  <c r="AB65" i="22740"/>
  <c r="AP24" i="3" l="1"/>
  <c r="AP25" i="3"/>
  <c r="AP23" i="3"/>
  <c r="AP21" i="3"/>
  <c r="AP22" i="3"/>
  <c r="AP18" i="3"/>
  <c r="AP19" i="3"/>
  <c r="AP66" i="3"/>
  <c r="AP59" i="3"/>
  <c r="B88" i="4"/>
  <c r="F64" i="4"/>
  <c r="F65" i="4" s="1"/>
  <c r="B51" i="22715"/>
  <c r="H92" i="22715"/>
  <c r="B95" i="4"/>
  <c r="AP17" i="3"/>
  <c r="AP36" i="3"/>
  <c r="AP40" i="3"/>
  <c r="AP58" i="3"/>
  <c r="AP50" i="3"/>
  <c r="AP67" i="3"/>
  <c r="AP53" i="3"/>
  <c r="AP37" i="3"/>
  <c r="AP31" i="3"/>
  <c r="AP46" i="3"/>
  <c r="AP49" i="3"/>
  <c r="AP62" i="3"/>
  <c r="AP29" i="3"/>
  <c r="E31" i="22714"/>
  <c r="AO71" i="3"/>
  <c r="AP28" i="3"/>
  <c r="AP54" i="3"/>
  <c r="AP44" i="3"/>
  <c r="AP32" i="3"/>
  <c r="AP33" i="3"/>
  <c r="AP52" i="3"/>
  <c r="AP45" i="3"/>
  <c r="AP16" i="3"/>
  <c r="AP42" i="3"/>
  <c r="AP55" i="3"/>
  <c r="AP35" i="3"/>
  <c r="AP56" i="3"/>
  <c r="AP39" i="3"/>
  <c r="AP57" i="3"/>
  <c r="AO69" i="3"/>
  <c r="AP47" i="3"/>
  <c r="AP60" i="3"/>
  <c r="AP41" i="3"/>
  <c r="AP61" i="3"/>
  <c r="AP30" i="3"/>
  <c r="AP63" i="3"/>
  <c r="AP64" i="3"/>
  <c r="AP65" i="3"/>
  <c r="BJ72" i="3"/>
  <c r="J33" i="22714"/>
  <c r="B57" i="22715"/>
  <c r="F73" i="4"/>
  <c r="B56" i="22715" s="1"/>
  <c r="C73" i="4"/>
  <c r="B124" i="4"/>
  <c r="AH70" i="22740"/>
  <c r="AG64" i="22740" s="1"/>
  <c r="AH64" i="22740" s="1"/>
  <c r="C29" i="22742"/>
  <c r="AA72" i="22740"/>
  <c r="J29" i="22742" s="1"/>
  <c r="G29" i="22742"/>
  <c r="F29" i="22742"/>
  <c r="F78" i="4" l="1"/>
  <c r="G46" i="4"/>
  <c r="H140" i="22715"/>
  <c r="C94" i="4"/>
  <c r="H96" i="22715" s="1"/>
  <c r="H93" i="22715"/>
  <c r="C95" i="4"/>
  <c r="C93" i="4"/>
  <c r="H95" i="22715" s="1"/>
  <c r="B125" i="4"/>
  <c r="H141" i="22715" s="1"/>
  <c r="B58" i="22715"/>
  <c r="G31" i="22714"/>
  <c r="F31" i="22714"/>
  <c r="BQ72" i="3"/>
  <c r="J34" i="22714"/>
  <c r="C31" i="22714"/>
  <c r="AV70" i="3"/>
  <c r="AU64" i="3" s="1"/>
  <c r="AV64" i="3" s="1"/>
  <c r="H77" i="22715"/>
  <c r="AH65" i="22740"/>
  <c r="G18" i="4" l="1"/>
  <c r="G17" i="4"/>
  <c r="G57" i="4"/>
  <c r="G58" i="4"/>
  <c r="H142" i="22715"/>
  <c r="B126" i="4"/>
  <c r="H170" i="22715" s="1"/>
  <c r="AV65" i="3"/>
  <c r="G24" i="4"/>
  <c r="G61" i="4"/>
  <c r="G30" i="4"/>
  <c r="G39" i="4"/>
  <c r="G48" i="4"/>
  <c r="C137" i="4"/>
  <c r="G28" i="4"/>
  <c r="G52" i="4"/>
  <c r="B144" i="4"/>
  <c r="G56" i="4"/>
  <c r="C138" i="4"/>
  <c r="G51" i="4"/>
  <c r="G65" i="4"/>
  <c r="G54" i="4"/>
  <c r="F69" i="4"/>
  <c r="G60" i="4"/>
  <c r="G40" i="4"/>
  <c r="B89" i="4"/>
  <c r="F66" i="4"/>
  <c r="F77" i="4" s="1"/>
  <c r="C136" i="4"/>
  <c r="G59" i="4"/>
  <c r="C159" i="4"/>
  <c r="E81" i="4"/>
  <c r="G31" i="4"/>
  <c r="G22" i="4"/>
  <c r="B161" i="4"/>
  <c r="G35" i="4"/>
  <c r="C133" i="4"/>
  <c r="G23" i="4"/>
  <c r="B42" i="22715"/>
  <c r="H79" i="22715" s="1"/>
  <c r="C157" i="4"/>
  <c r="G50" i="4"/>
  <c r="G55" i="4"/>
  <c r="G38" i="4"/>
  <c r="C134" i="4"/>
  <c r="E80" i="4"/>
  <c r="F80" i="4" s="1"/>
  <c r="G29" i="4"/>
  <c r="C135" i="4"/>
  <c r="K77" i="4"/>
  <c r="K78" i="4" s="1"/>
  <c r="B43" i="22715"/>
  <c r="H9" i="22715" s="1"/>
  <c r="G21" i="4"/>
  <c r="G33" i="4"/>
  <c r="G47" i="4"/>
  <c r="C140" i="4"/>
  <c r="G26" i="4"/>
  <c r="G44" i="4"/>
  <c r="G42" i="4"/>
  <c r="G20" i="4"/>
  <c r="C139" i="4"/>
  <c r="G19" i="4"/>
  <c r="F67" i="4"/>
  <c r="H38" i="22715" s="1"/>
  <c r="G15" i="4"/>
  <c r="G27" i="4"/>
  <c r="C156" i="4"/>
  <c r="C160" i="4"/>
  <c r="H218" i="22715" s="1"/>
  <c r="G43" i="4"/>
  <c r="G53" i="4"/>
  <c r="G37" i="4"/>
  <c r="G16" i="4"/>
  <c r="C143" i="4"/>
  <c r="H172" i="22715" s="1"/>
  <c r="B90" i="4"/>
  <c r="G45" i="4"/>
  <c r="C141" i="4"/>
  <c r="C132" i="4"/>
  <c r="G62" i="4"/>
  <c r="G32" i="4"/>
  <c r="G34" i="4"/>
  <c r="C124" i="4" s="1"/>
  <c r="G63" i="4"/>
  <c r="G64" i="4"/>
  <c r="C125" i="4" s="1"/>
  <c r="H145" i="22715" s="1"/>
  <c r="BX72" i="3"/>
  <c r="J35" i="22714"/>
  <c r="AH66" i="22740"/>
  <c r="AH67" i="22740" s="1"/>
  <c r="AI48" i="22740" s="1"/>
  <c r="BD23" i="22740" l="1"/>
  <c r="CF26" i="22740"/>
  <c r="CT22" i="22740"/>
  <c r="DH21" i="22740"/>
  <c r="DV22" i="22740"/>
  <c r="EJ26" i="22740"/>
  <c r="AW25" i="22740"/>
  <c r="BR24" i="22740"/>
  <c r="BY25" i="22740"/>
  <c r="CM26" i="22740"/>
  <c r="DA22" i="22740"/>
  <c r="DO21" i="22740"/>
  <c r="BK23" i="22740"/>
  <c r="CM23" i="22740"/>
  <c r="DA21" i="22740"/>
  <c r="AP22" i="22740"/>
  <c r="AP21" i="22740"/>
  <c r="BD26" i="22740"/>
  <c r="BR22" i="22740"/>
  <c r="CM24" i="22740"/>
  <c r="CT25" i="22740"/>
  <c r="DH26" i="22740"/>
  <c r="DV25" i="22740"/>
  <c r="BD25" i="22740"/>
  <c r="CT24" i="22740"/>
  <c r="DA25" i="22740"/>
  <c r="DO26" i="22740"/>
  <c r="EC22" i="22740"/>
  <c r="AP23" i="22740"/>
  <c r="BR21" i="22740"/>
  <c r="CF22" i="22740"/>
  <c r="CT21" i="22740"/>
  <c r="DH22" i="22740"/>
  <c r="DV21" i="22740"/>
  <c r="EJ22" i="22740"/>
  <c r="AW21" i="22740"/>
  <c r="BK22" i="22740"/>
  <c r="BY23" i="22740"/>
  <c r="CM22" i="22740"/>
  <c r="DA26" i="22740"/>
  <c r="DO25" i="22740"/>
  <c r="EC26" i="22740"/>
  <c r="AW23" i="22740"/>
  <c r="BK24" i="22740"/>
  <c r="BR25" i="22740"/>
  <c r="DA23" i="22740"/>
  <c r="DO24" i="22740"/>
  <c r="EC25" i="22740"/>
  <c r="AP24" i="22740"/>
  <c r="BK21" i="22740"/>
  <c r="CF23" i="22740"/>
  <c r="DH23" i="22740"/>
  <c r="DV24" i="22740"/>
  <c r="AP26" i="22740"/>
  <c r="BD22" i="22740"/>
  <c r="BR26" i="22740"/>
  <c r="BY21" i="22740"/>
  <c r="CF25" i="22740"/>
  <c r="CT26" i="22740"/>
  <c r="DH25" i="22740"/>
  <c r="DV26" i="22740"/>
  <c r="EC21" i="22740"/>
  <c r="EJ25" i="22740"/>
  <c r="AW26" i="22740"/>
  <c r="BD21" i="22740"/>
  <c r="BK25" i="22740"/>
  <c r="BY26" i="22740"/>
  <c r="CM25" i="22740"/>
  <c r="DH24" i="22740"/>
  <c r="DV23" i="22740"/>
  <c r="EJ24" i="22740"/>
  <c r="CF21" i="22740"/>
  <c r="EJ21" i="22740"/>
  <c r="BY22" i="22740"/>
  <c r="DO23" i="22740"/>
  <c r="CT23" i="22740"/>
  <c r="BD24" i="22740"/>
  <c r="BK26" i="22740"/>
  <c r="AW24" i="22740"/>
  <c r="DA24" i="22740"/>
  <c r="CF24" i="22740"/>
  <c r="DO22" i="22740"/>
  <c r="EC23" i="22740"/>
  <c r="AW22" i="22740"/>
  <c r="EJ23" i="22740"/>
  <c r="BR23" i="22740"/>
  <c r="AP25" i="22740"/>
  <c r="CM21" i="22740"/>
  <c r="BY24" i="22740"/>
  <c r="EC24" i="22740"/>
  <c r="AI21" i="22740"/>
  <c r="AI25" i="22740"/>
  <c r="AI22" i="22740"/>
  <c r="AI26" i="22740"/>
  <c r="AI23" i="22740"/>
  <c r="AI24" i="22740"/>
  <c r="AI19" i="22740"/>
  <c r="AI18" i="22740"/>
  <c r="C87" i="4"/>
  <c r="H81" i="22715" s="1"/>
  <c r="C90" i="4"/>
  <c r="C88" i="4"/>
  <c r="H82" i="22715" s="1"/>
  <c r="C161" i="4"/>
  <c r="H219" i="22715" s="1"/>
  <c r="H214" i="22715"/>
  <c r="H215" i="22715" s="1"/>
  <c r="B120" i="4"/>
  <c r="C89" i="4"/>
  <c r="H83" i="22715" s="1"/>
  <c r="F70" i="4"/>
  <c r="B60" i="22715"/>
  <c r="H169" i="22715"/>
  <c r="C144" i="4"/>
  <c r="H173" i="22715" s="1"/>
  <c r="F68" i="4"/>
  <c r="H50" i="22715" s="1"/>
  <c r="H43" i="22715"/>
  <c r="H36" i="22715"/>
  <c r="B45" i="22715"/>
  <c r="H8" i="22715" s="1"/>
  <c r="B55" i="22714"/>
  <c r="C126" i="4"/>
  <c r="H144" i="22715"/>
  <c r="CE72" i="3"/>
  <c r="J36" i="22714"/>
  <c r="AV66" i="3"/>
  <c r="AI66" i="22740"/>
  <c r="AI61" i="22740"/>
  <c r="AI41" i="22740"/>
  <c r="AI52" i="22740"/>
  <c r="AI31" i="22740"/>
  <c r="AI67" i="22740"/>
  <c r="AI46" i="22740"/>
  <c r="AI55" i="22740"/>
  <c r="AI36" i="22740"/>
  <c r="AI42" i="22740"/>
  <c r="AI57" i="22740"/>
  <c r="AI60" i="22740"/>
  <c r="AI30" i="22740"/>
  <c r="AH69" i="22740"/>
  <c r="AI37" i="22740"/>
  <c r="AI50" i="22740"/>
  <c r="AI35" i="22740"/>
  <c r="AI32" i="22740"/>
  <c r="AI56" i="22740"/>
  <c r="AI45" i="22740"/>
  <c r="AI53" i="22740"/>
  <c r="AI63" i="22740"/>
  <c r="AI47" i="22740"/>
  <c r="AI40" i="22740"/>
  <c r="E30" i="22742"/>
  <c r="AI17" i="22740"/>
  <c r="AI54" i="22740"/>
  <c r="AI28" i="22740"/>
  <c r="AI39" i="22740"/>
  <c r="AI58" i="22740"/>
  <c r="AI33" i="22740"/>
  <c r="AI16" i="22740"/>
  <c r="AI29" i="22740"/>
  <c r="AI62" i="22740"/>
  <c r="AH71" i="22740"/>
  <c r="AI49" i="22740"/>
  <c r="AI64" i="22740"/>
  <c r="AI65" i="22740"/>
  <c r="F71" i="4" l="1"/>
  <c r="F72" i="4"/>
  <c r="H64" i="22715" s="1"/>
  <c r="H6" i="22715" s="1"/>
  <c r="B61" i="22715"/>
  <c r="B64" i="22715" s="1"/>
  <c r="C120" i="4"/>
  <c r="C118" i="4"/>
  <c r="H125" i="22715" s="1"/>
  <c r="H78" i="22715"/>
  <c r="H121" i="22715"/>
  <c r="B119" i="4"/>
  <c r="C117" i="4"/>
  <c r="H124" i="22715" s="1"/>
  <c r="J37" i="22714"/>
  <c r="CL72" i="3"/>
  <c r="AV67" i="3"/>
  <c r="C30" i="22742"/>
  <c r="AH72" i="22740"/>
  <c r="AO70" i="22740"/>
  <c r="AN64" i="22740" s="1"/>
  <c r="AO64" i="22740" s="1"/>
  <c r="G30" i="22742"/>
  <c r="F30" i="22742"/>
  <c r="AW22" i="3" l="1"/>
  <c r="AW25" i="3"/>
  <c r="AW21" i="3"/>
  <c r="AW23" i="3"/>
  <c r="AW24" i="3"/>
  <c r="CT22" i="3"/>
  <c r="DV22" i="3"/>
  <c r="BK21" i="3"/>
  <c r="BD25" i="3"/>
  <c r="CF25" i="3"/>
  <c r="CT21" i="3"/>
  <c r="DH25" i="3"/>
  <c r="DV24" i="3"/>
  <c r="BD22" i="3"/>
  <c r="CF22" i="3"/>
  <c r="DH22" i="3"/>
  <c r="DV23" i="3"/>
  <c r="EJ22" i="3"/>
  <c r="BK22" i="3"/>
  <c r="BD23" i="3"/>
  <c r="BK24" i="3"/>
  <c r="BK23" i="3"/>
  <c r="CM23" i="3"/>
  <c r="CT24" i="3"/>
  <c r="DO23" i="3"/>
  <c r="EC22" i="3"/>
  <c r="CF21" i="3"/>
  <c r="CT25" i="3"/>
  <c r="DH21" i="3"/>
  <c r="DV25" i="3"/>
  <c r="BY25" i="3"/>
  <c r="CM21" i="3"/>
  <c r="DA25" i="3"/>
  <c r="DO21" i="3"/>
  <c r="EC25" i="3"/>
  <c r="BY22" i="3"/>
  <c r="DA22" i="3"/>
  <c r="BK25" i="3"/>
  <c r="BY21" i="3"/>
  <c r="CM25" i="3"/>
  <c r="DA21" i="3"/>
  <c r="DO25" i="3"/>
  <c r="EC21" i="3"/>
  <c r="BD21" i="3"/>
  <c r="CF24" i="3"/>
  <c r="DA23" i="3"/>
  <c r="DH24" i="3"/>
  <c r="EJ21" i="3"/>
  <c r="BY24" i="3"/>
  <c r="CT23" i="3"/>
  <c r="EC24" i="3"/>
  <c r="DO22" i="3"/>
  <c r="DO24" i="3"/>
  <c r="CM24" i="3"/>
  <c r="DH23" i="3"/>
  <c r="EJ24" i="3"/>
  <c r="CF23" i="3"/>
  <c r="DV21" i="3"/>
  <c r="BD24" i="3"/>
  <c r="EJ25" i="3"/>
  <c r="DA24" i="3"/>
  <c r="CM22" i="3"/>
  <c r="EJ23" i="3"/>
  <c r="BY23" i="3"/>
  <c r="EC23" i="3"/>
  <c r="AW59" i="3"/>
  <c r="AW60" i="3"/>
  <c r="AW49" i="3"/>
  <c r="AW63" i="3"/>
  <c r="AV69" i="3"/>
  <c r="AW67" i="3"/>
  <c r="AW17" i="3"/>
  <c r="AW54" i="3"/>
  <c r="AW29" i="3"/>
  <c r="AV71" i="3"/>
  <c r="AW42" i="3"/>
  <c r="AW33" i="3"/>
  <c r="AW52" i="3"/>
  <c r="AW16" i="3"/>
  <c r="AW31" i="3"/>
  <c r="AW39" i="3"/>
  <c r="AW35" i="3"/>
  <c r="AW44" i="3"/>
  <c r="AW41" i="3"/>
  <c r="AW47" i="3"/>
  <c r="AW46" i="3"/>
  <c r="AW40" i="3"/>
  <c r="AW50" i="3"/>
  <c r="AW37" i="3"/>
  <c r="AW30" i="3"/>
  <c r="AW36" i="3"/>
  <c r="AW55" i="3"/>
  <c r="AW57" i="3"/>
  <c r="AW56" i="3"/>
  <c r="AW58" i="3"/>
  <c r="E32" i="22714"/>
  <c r="AW32" i="3"/>
  <c r="AW19" i="3"/>
  <c r="AW62" i="3"/>
  <c r="AW45" i="3"/>
  <c r="AW61" i="3"/>
  <c r="AW53" i="3"/>
  <c r="AW28" i="3"/>
  <c r="AW64" i="3"/>
  <c r="AW65" i="3"/>
  <c r="H120" i="22715"/>
  <c r="C119" i="4"/>
  <c r="H126" i="22715" s="1"/>
  <c r="J38" i="22714"/>
  <c r="CS72" i="3"/>
  <c r="AW66" i="3"/>
  <c r="H61" i="22715"/>
  <c r="H7" i="22715" s="1"/>
  <c r="C50" i="22714"/>
  <c r="AO65" i="22740"/>
  <c r="J30" i="22742"/>
  <c r="AO72" i="22740"/>
  <c r="C33" i="22741"/>
  <c r="G32" i="22714" l="1"/>
  <c r="F32" i="22714"/>
  <c r="J39" i="22714"/>
  <c r="CZ72" i="3"/>
  <c r="C32" i="22714"/>
  <c r="BC70" i="3"/>
  <c r="BB64" i="3" s="1"/>
  <c r="BC64" i="3" s="1"/>
  <c r="E63" i="22741"/>
  <c r="F63" i="22741" s="1"/>
  <c r="F64" i="22741" s="1"/>
  <c r="F33" i="22741"/>
  <c r="F35" i="22741" s="1"/>
  <c r="D49" i="22715"/>
  <c r="C49" i="22715" s="1"/>
  <c r="AO66" i="22740"/>
  <c r="AO67" i="22740" s="1"/>
  <c r="AV72" i="22740"/>
  <c r="J31" i="22742"/>
  <c r="AP49" i="22740" l="1"/>
  <c r="AP48" i="22740"/>
  <c r="AP18" i="22740"/>
  <c r="AP19" i="22740"/>
  <c r="BC65" i="3"/>
  <c r="J40" i="22714"/>
  <c r="DG72" i="3"/>
  <c r="AP66" i="22740"/>
  <c r="AP30" i="22740"/>
  <c r="AP47" i="22740"/>
  <c r="AP17" i="22740"/>
  <c r="AP42" i="22740"/>
  <c r="E31" i="22742"/>
  <c r="AP61" i="22740"/>
  <c r="AP56" i="22740"/>
  <c r="AP36" i="22740"/>
  <c r="AP46" i="22740"/>
  <c r="AP55" i="22740"/>
  <c r="AP58" i="22740"/>
  <c r="AP52" i="22740"/>
  <c r="AP29" i="22740"/>
  <c r="AP63" i="22740"/>
  <c r="AP31" i="22740"/>
  <c r="AP45" i="22740"/>
  <c r="AP32" i="22740"/>
  <c r="AP41" i="22740"/>
  <c r="AP33" i="22740"/>
  <c r="AP67" i="22740"/>
  <c r="AP37" i="22740"/>
  <c r="AP54" i="22740"/>
  <c r="AP57" i="22740"/>
  <c r="AP35" i="22740"/>
  <c r="AP53" i="22740"/>
  <c r="AP40" i="22740"/>
  <c r="AO69" i="22740"/>
  <c r="AP16" i="22740"/>
  <c r="AP62" i="22740"/>
  <c r="AP39" i="22740"/>
  <c r="AO71" i="22740"/>
  <c r="AP50" i="22740"/>
  <c r="AP28" i="22740"/>
  <c r="AP60" i="22740"/>
  <c r="AP64" i="22740"/>
  <c r="J32" i="22742"/>
  <c r="BC72" i="22740"/>
  <c r="B118" i="22741"/>
  <c r="D50" i="22715"/>
  <c r="C50" i="22715" s="1"/>
  <c r="AP65" i="22740"/>
  <c r="B95" i="22741"/>
  <c r="F65" i="22741"/>
  <c r="F66" i="22741" s="1"/>
  <c r="F79" i="22741" l="1"/>
  <c r="DN72" i="3"/>
  <c r="J41" i="22714"/>
  <c r="BC66" i="3"/>
  <c r="BC67" i="3" s="1"/>
  <c r="B96" i="22741"/>
  <c r="J92" i="22715"/>
  <c r="I92" i="22715" s="1"/>
  <c r="J118" i="22715"/>
  <c r="I118" i="22715" s="1"/>
  <c r="AV70" i="22740"/>
  <c r="AU64" i="22740" s="1"/>
  <c r="AV64" i="22740" s="1"/>
  <c r="C31" i="22742"/>
  <c r="G31" i="22742"/>
  <c r="F31" i="22742"/>
  <c r="BJ72" i="22740"/>
  <c r="J33" i="22742"/>
  <c r="B89" i="22741"/>
  <c r="D51" i="22715"/>
  <c r="C51" i="22715" s="1"/>
  <c r="F74" i="22741"/>
  <c r="D56" i="22715" s="1"/>
  <c r="C56" i="22715" s="1"/>
  <c r="D57" i="22715"/>
  <c r="C57" i="22715" s="1"/>
  <c r="C74" i="22741"/>
  <c r="B125" i="22741"/>
  <c r="BD65" i="3" l="1"/>
  <c r="BD59" i="3"/>
  <c r="BD66" i="3"/>
  <c r="E33" i="22714"/>
  <c r="BD29" i="3"/>
  <c r="BD54" i="3"/>
  <c r="BD56" i="3"/>
  <c r="BD32" i="3"/>
  <c r="BD57" i="3"/>
  <c r="BD17" i="3"/>
  <c r="BD45" i="3"/>
  <c r="BD35" i="3"/>
  <c r="BD30" i="3"/>
  <c r="BD41" i="3"/>
  <c r="BD42" i="3"/>
  <c r="BD61" i="3"/>
  <c r="BD67" i="3"/>
  <c r="BD50" i="3"/>
  <c r="BD47" i="3"/>
  <c r="BD58" i="3"/>
  <c r="BC69" i="3"/>
  <c r="BD31" i="3"/>
  <c r="BD63" i="3"/>
  <c r="BD49" i="3"/>
  <c r="BD44" i="3"/>
  <c r="BD46" i="3"/>
  <c r="BD19" i="3"/>
  <c r="BD33" i="3"/>
  <c r="BD16" i="3"/>
  <c r="BD39" i="3"/>
  <c r="BD40" i="3"/>
  <c r="BD52" i="3"/>
  <c r="BD62" i="3"/>
  <c r="BD37" i="3"/>
  <c r="BD36" i="3"/>
  <c r="BC71" i="3"/>
  <c r="BD28" i="3"/>
  <c r="BD53" i="3"/>
  <c r="BD55" i="3"/>
  <c r="BD60" i="3"/>
  <c r="BD64" i="3"/>
  <c r="DU72" i="3"/>
  <c r="J42" i="22714"/>
  <c r="B126" i="22741"/>
  <c r="J141" i="22715" s="1"/>
  <c r="I141" i="22715" s="1"/>
  <c r="D58" i="22715"/>
  <c r="C58" i="22715" s="1"/>
  <c r="G64" i="22741"/>
  <c r="C126" i="22741" s="1"/>
  <c r="J145" i="22715" s="1"/>
  <c r="J140" i="22715"/>
  <c r="J34" i="22742"/>
  <c r="BQ72" i="22740"/>
  <c r="AV65" i="22740"/>
  <c r="J93" i="22715"/>
  <c r="I93" i="22715" s="1"/>
  <c r="C94" i="22741"/>
  <c r="J95" i="22715" s="1"/>
  <c r="C96" i="22741"/>
  <c r="J77" i="22715"/>
  <c r="I77" i="22715" s="1"/>
  <c r="C95" i="22741"/>
  <c r="J96" i="22715" s="1"/>
  <c r="B127" i="22741" l="1"/>
  <c r="J170" i="22715" s="1"/>
  <c r="I170" i="22715" s="1"/>
  <c r="EB72" i="3"/>
  <c r="J43" i="22714"/>
  <c r="C33" i="22714"/>
  <c r="BJ70" i="3"/>
  <c r="BI64" i="3" s="1"/>
  <c r="BJ64" i="3" s="1"/>
  <c r="BJ65" i="3" s="1"/>
  <c r="BJ66" i="3" s="1"/>
  <c r="F33" i="22714"/>
  <c r="G33" i="22714"/>
  <c r="AV66" i="22740"/>
  <c r="C141" i="22741"/>
  <c r="G28" i="22741"/>
  <c r="C138" i="22741"/>
  <c r="C142" i="22741"/>
  <c r="G38" i="22741"/>
  <c r="G36" i="22741"/>
  <c r="G54" i="22741"/>
  <c r="C144" i="22741"/>
  <c r="J172" i="22715" s="1"/>
  <c r="G59" i="22741"/>
  <c r="G16" i="22741"/>
  <c r="G31" i="22741"/>
  <c r="F68" i="22741"/>
  <c r="J38" i="22715" s="1"/>
  <c r="I38" i="22715" s="1"/>
  <c r="G57" i="22741"/>
  <c r="B90" i="22741"/>
  <c r="G39" i="22741"/>
  <c r="G29" i="22741"/>
  <c r="G65" i="22741"/>
  <c r="G61" i="22741"/>
  <c r="B145" i="22741"/>
  <c r="C134" i="22741"/>
  <c r="G30" i="22741"/>
  <c r="G49" i="22741"/>
  <c r="B91" i="22741"/>
  <c r="C140" i="22741"/>
  <c r="C135" i="22741"/>
  <c r="K77" i="22741"/>
  <c r="K78" i="22741" s="1"/>
  <c r="C139" i="22741"/>
  <c r="F70" i="22741"/>
  <c r="C157" i="22741"/>
  <c r="G43" i="22741"/>
  <c r="G46" i="22741"/>
  <c r="F67" i="22741"/>
  <c r="G18" i="22741"/>
  <c r="G56" i="22741"/>
  <c r="G60" i="22741"/>
  <c r="C160" i="22741"/>
  <c r="G21" i="22741"/>
  <c r="C133" i="22741"/>
  <c r="C136" i="22741"/>
  <c r="G53" i="22741"/>
  <c r="C137" i="22741"/>
  <c r="G23" i="22741"/>
  <c r="G15" i="22741"/>
  <c r="C161" i="22741"/>
  <c r="J218" i="22715" s="1"/>
  <c r="G27" i="22741"/>
  <c r="G44" i="22741"/>
  <c r="G22" i="22741"/>
  <c r="G52" i="22741"/>
  <c r="G48" i="22741"/>
  <c r="D42" i="22715"/>
  <c r="G20" i="22741"/>
  <c r="G45" i="22741"/>
  <c r="E82" i="22741"/>
  <c r="F82" i="22741" s="1"/>
  <c r="G34" i="22741"/>
  <c r="E81" i="22741"/>
  <c r="F81" i="22741" s="1"/>
  <c r="G51" i="22741"/>
  <c r="G41" i="22741"/>
  <c r="D43" i="22715"/>
  <c r="G55" i="22741"/>
  <c r="G40" i="22741"/>
  <c r="C158" i="22741"/>
  <c r="G32" i="22741"/>
  <c r="B162" i="22741"/>
  <c r="G58" i="22741"/>
  <c r="G62" i="22741"/>
  <c r="G33" i="22741"/>
  <c r="G63" i="22741"/>
  <c r="G35" i="22741"/>
  <c r="C125" i="22741" s="1"/>
  <c r="J35" i="22742"/>
  <c r="BX72" i="22740"/>
  <c r="J142" i="22715"/>
  <c r="I142" i="22715" s="1"/>
  <c r="I140" i="22715"/>
  <c r="BJ67" i="3" l="1"/>
  <c r="J44" i="22714"/>
  <c r="EI72" i="3"/>
  <c r="J45" i="22714" s="1"/>
  <c r="C127" i="22741"/>
  <c r="J144" i="22715"/>
  <c r="AV67" i="22740"/>
  <c r="AW48" i="22740" s="1"/>
  <c r="B55" i="22742"/>
  <c r="D45" i="22715"/>
  <c r="C91" i="22741"/>
  <c r="C88" i="22741"/>
  <c r="J81" i="22715" s="1"/>
  <c r="C89" i="22741"/>
  <c r="J82" i="22715" s="1"/>
  <c r="B121" i="22741"/>
  <c r="C90" i="22741"/>
  <c r="J83" i="22715" s="1"/>
  <c r="J78" i="22715"/>
  <c r="I78" i="22715" s="1"/>
  <c r="D46" i="22715"/>
  <c r="B56" i="22742"/>
  <c r="J214" i="22715"/>
  <c r="C162" i="22741"/>
  <c r="J219" i="22715" s="1"/>
  <c r="J36" i="22742"/>
  <c r="CE72" i="22740"/>
  <c r="C43" i="22715"/>
  <c r="I9" i="22715" s="1"/>
  <c r="J9" i="22715"/>
  <c r="J79" i="22715"/>
  <c r="I79" i="22715" s="1"/>
  <c r="C42" i="22715"/>
  <c r="F78" i="22741"/>
  <c r="J43" i="22715" s="1"/>
  <c r="I43" i="22715" s="1"/>
  <c r="F69" i="22741"/>
  <c r="J50" i="22715" s="1"/>
  <c r="I50" i="22715" s="1"/>
  <c r="J36" i="22715"/>
  <c r="I36" i="22715" s="1"/>
  <c r="D60" i="22715"/>
  <c r="C60" i="22715" s="1"/>
  <c r="F71" i="22741"/>
  <c r="F72" i="22741" s="1"/>
  <c r="C145" i="22741"/>
  <c r="J173" i="22715" s="1"/>
  <c r="J169" i="22715"/>
  <c r="I169" i="22715" s="1"/>
  <c r="AW66" i="22740" l="1"/>
  <c r="AW19" i="22740"/>
  <c r="AW18" i="22740"/>
  <c r="BK52" i="3"/>
  <c r="BK28" i="3"/>
  <c r="BK39" i="3"/>
  <c r="BK40" i="3"/>
  <c r="BK55" i="3"/>
  <c r="BK54" i="3"/>
  <c r="BK45" i="3"/>
  <c r="E34" i="22714"/>
  <c r="BK63" i="3"/>
  <c r="BK60" i="3"/>
  <c r="BK30" i="3"/>
  <c r="BK67" i="3"/>
  <c r="BK47" i="3"/>
  <c r="BK31" i="3"/>
  <c r="BK50" i="3"/>
  <c r="BK44" i="3"/>
  <c r="BK53" i="3"/>
  <c r="BK61" i="3"/>
  <c r="BK56" i="3"/>
  <c r="BK19" i="3"/>
  <c r="BK62" i="3"/>
  <c r="BK41" i="3"/>
  <c r="BK32" i="3"/>
  <c r="BK36" i="3"/>
  <c r="BK49" i="3"/>
  <c r="BK29" i="3"/>
  <c r="BK58" i="3"/>
  <c r="BK46" i="3"/>
  <c r="BK35" i="3"/>
  <c r="BK17" i="3"/>
  <c r="BK16" i="3"/>
  <c r="BJ69" i="3"/>
  <c r="BK57" i="3"/>
  <c r="BJ71" i="3"/>
  <c r="BK37" i="3"/>
  <c r="BK42" i="3"/>
  <c r="BK33" i="3"/>
  <c r="BK64" i="3"/>
  <c r="BK65" i="3"/>
  <c r="BK66" i="3"/>
  <c r="F73" i="22741"/>
  <c r="J64" i="22715" s="1"/>
  <c r="D61" i="22715"/>
  <c r="J215" i="22715"/>
  <c r="I215" i="22715" s="1"/>
  <c r="I214" i="22715"/>
  <c r="AW55" i="22740"/>
  <c r="AW47" i="22740"/>
  <c r="AW40" i="22740"/>
  <c r="AW29" i="22740"/>
  <c r="E32" i="22742"/>
  <c r="AW49" i="22740"/>
  <c r="AW32" i="22740"/>
  <c r="AW16" i="22740"/>
  <c r="AW52" i="22740"/>
  <c r="AW35" i="22740"/>
  <c r="AW57" i="22740"/>
  <c r="AW31" i="22740"/>
  <c r="AW36" i="22740"/>
  <c r="AW37" i="22740"/>
  <c r="AW61" i="22740"/>
  <c r="AW56" i="22740"/>
  <c r="AW63" i="22740"/>
  <c r="AW54" i="22740"/>
  <c r="AW62" i="22740"/>
  <c r="AW41" i="22740"/>
  <c r="AW42" i="22740"/>
  <c r="AW28" i="22740"/>
  <c r="AW17" i="22740"/>
  <c r="AV71" i="22740"/>
  <c r="AW53" i="22740"/>
  <c r="AW67" i="22740"/>
  <c r="AW60" i="22740"/>
  <c r="AW39" i="22740"/>
  <c r="AW46" i="22740"/>
  <c r="AW30" i="22740"/>
  <c r="AW58" i="22740"/>
  <c r="AW33" i="22740"/>
  <c r="AW50" i="22740"/>
  <c r="AV69" i="22740"/>
  <c r="AW45" i="22740"/>
  <c r="AW64" i="22740"/>
  <c r="AW65" i="22740"/>
  <c r="CL72" i="22740"/>
  <c r="J37" i="22742"/>
  <c r="J121" i="22715"/>
  <c r="I121" i="22715" s="1"/>
  <c r="B120" i="22741"/>
  <c r="C121" i="22741"/>
  <c r="C119" i="22741"/>
  <c r="J125" i="22715" s="1"/>
  <c r="C118" i="22741"/>
  <c r="J124" i="22715" s="1"/>
  <c r="J8" i="22715"/>
  <c r="C45" i="22715"/>
  <c r="I8" i="22715" s="1"/>
  <c r="G34" i="22714" l="1"/>
  <c r="F34" i="22714"/>
  <c r="BQ70" i="3"/>
  <c r="BP64" i="3" s="1"/>
  <c r="BQ64" i="3" s="1"/>
  <c r="BQ65" i="3" s="1"/>
  <c r="BQ66" i="3" s="1"/>
  <c r="C34" i="22714"/>
  <c r="D64" i="22715"/>
  <c r="C64" i="22715" s="1"/>
  <c r="C61" i="22715"/>
  <c r="J38" i="22742"/>
  <c r="CS72" i="22740"/>
  <c r="F32" i="22742"/>
  <c r="G32" i="22742"/>
  <c r="I64" i="22715"/>
  <c r="I6" i="22715" s="1"/>
  <c r="J6" i="22715"/>
  <c r="J120" i="22715"/>
  <c r="I120" i="22715" s="1"/>
  <c r="C120" i="22741"/>
  <c r="J126" i="22715" s="1"/>
  <c r="C32" i="22742"/>
  <c r="BC70" i="22740"/>
  <c r="BB64" i="22740" s="1"/>
  <c r="BC64" i="22740" s="1"/>
  <c r="C50" i="22742"/>
  <c r="J61" i="22715"/>
  <c r="BQ67" i="3" l="1"/>
  <c r="BR66" i="3" s="1"/>
  <c r="I61" i="22715"/>
  <c r="I7" i="22715" s="1"/>
  <c r="J7" i="22715"/>
  <c r="BC65" i="22740"/>
  <c r="CZ72" i="22740"/>
  <c r="J39" i="22742"/>
  <c r="BR41" i="3" l="1"/>
  <c r="BR42" i="3"/>
  <c r="BR40" i="3"/>
  <c r="BR61" i="3"/>
  <c r="E35" i="22714"/>
  <c r="BR30" i="3"/>
  <c r="BR19" i="3"/>
  <c r="BR56" i="3"/>
  <c r="BR49" i="3"/>
  <c r="BR46" i="3"/>
  <c r="BR17" i="3"/>
  <c r="BR60" i="3"/>
  <c r="BQ71" i="3"/>
  <c r="BR44" i="3"/>
  <c r="BR39" i="3"/>
  <c r="BR36" i="3"/>
  <c r="BR55" i="3"/>
  <c r="BR28" i="3"/>
  <c r="BR63" i="3"/>
  <c r="BR47" i="3"/>
  <c r="BR50" i="3"/>
  <c r="BQ69" i="3"/>
  <c r="BR29" i="3"/>
  <c r="BR52" i="3"/>
  <c r="BR58" i="3"/>
  <c r="BR57" i="3"/>
  <c r="BR32" i="3"/>
  <c r="BR37" i="3"/>
  <c r="BR33" i="3"/>
  <c r="BR31" i="3"/>
  <c r="BR16" i="3"/>
  <c r="BR45" i="3"/>
  <c r="BR67" i="3"/>
  <c r="BR35" i="3"/>
  <c r="BR54" i="3"/>
  <c r="BR53" i="3"/>
  <c r="BR62" i="3"/>
  <c r="BR64" i="3"/>
  <c r="BR65" i="3"/>
  <c r="DG72" i="22740"/>
  <c r="J40" i="22742"/>
  <c r="BC66" i="22740"/>
  <c r="C35" i="22714" l="1"/>
  <c r="BX70" i="3"/>
  <c r="BW64" i="3" s="1"/>
  <c r="BX64" i="3" s="1"/>
  <c r="G35" i="22714"/>
  <c r="F35" i="22714"/>
  <c r="BC67" i="22740"/>
  <c r="J41" i="22742"/>
  <c r="DN72" i="22740"/>
  <c r="BD49" i="22740" l="1"/>
  <c r="BD48" i="22740"/>
  <c r="BD66" i="22740"/>
  <c r="BD19" i="22740"/>
  <c r="BD18" i="22740"/>
  <c r="BX65" i="3"/>
  <c r="J42" i="22742"/>
  <c r="DU72" i="22740"/>
  <c r="BD39" i="22740"/>
  <c r="BD32" i="22740"/>
  <c r="BD50" i="22740"/>
  <c r="BD67" i="22740"/>
  <c r="BD52" i="22740"/>
  <c r="BD46" i="22740"/>
  <c r="BD42" i="22740"/>
  <c r="BD61" i="22740"/>
  <c r="BC69" i="22740"/>
  <c r="BD57" i="22740"/>
  <c r="BD29" i="22740"/>
  <c r="BD40" i="22740"/>
  <c r="BD16" i="22740"/>
  <c r="BD53" i="22740"/>
  <c r="BD47" i="22740"/>
  <c r="BD30" i="22740"/>
  <c r="BD37" i="22740"/>
  <c r="BD62" i="22740"/>
  <c r="BD28" i="22740"/>
  <c r="E33" i="22742"/>
  <c r="BD31" i="22740"/>
  <c r="BD60" i="22740"/>
  <c r="BD17" i="22740"/>
  <c r="BD41" i="22740"/>
  <c r="BD55" i="22740"/>
  <c r="BD63" i="22740"/>
  <c r="BD54" i="22740"/>
  <c r="BD56" i="22740"/>
  <c r="BD36" i="22740"/>
  <c r="BD58" i="22740"/>
  <c r="BD45" i="22740"/>
  <c r="BD33" i="22740"/>
  <c r="BC71" i="22740"/>
  <c r="BD35" i="22740"/>
  <c r="BD64" i="22740"/>
  <c r="BD65" i="22740"/>
  <c r="BX66" i="3" l="1"/>
  <c r="BX67" i="3" s="1"/>
  <c r="BY65" i="3" s="1"/>
  <c r="EB72" i="22740"/>
  <c r="J43" i="22742"/>
  <c r="C33" i="22742"/>
  <c r="BJ70" i="22740"/>
  <c r="BI64" i="22740" s="1"/>
  <c r="BJ64" i="22740" s="1"/>
  <c r="F33" i="22742"/>
  <c r="G33" i="22742"/>
  <c r="BY66" i="3" l="1"/>
  <c r="BY67" i="3"/>
  <c r="BY28" i="3"/>
  <c r="BY31" i="3"/>
  <c r="BY52" i="3"/>
  <c r="BX69" i="3"/>
  <c r="BY41" i="3"/>
  <c r="BY36" i="3"/>
  <c r="BY57" i="3"/>
  <c r="BY32" i="3"/>
  <c r="BY47" i="3"/>
  <c r="BY40" i="3"/>
  <c r="BY39" i="3"/>
  <c r="BY37" i="3"/>
  <c r="BY54" i="3"/>
  <c r="BY19" i="3"/>
  <c r="BY30" i="3"/>
  <c r="BY49" i="3"/>
  <c r="BY56" i="3"/>
  <c r="BY29" i="3"/>
  <c r="BY46" i="3"/>
  <c r="BY61" i="3"/>
  <c r="BY16" i="3"/>
  <c r="BY53" i="3"/>
  <c r="E36" i="22714"/>
  <c r="BX71" i="3"/>
  <c r="BY42" i="3"/>
  <c r="BY62" i="3"/>
  <c r="BY45" i="3"/>
  <c r="BY35" i="3"/>
  <c r="BY50" i="3"/>
  <c r="BY55" i="3"/>
  <c r="BY17" i="3"/>
  <c r="BY63" i="3"/>
  <c r="BY44" i="3"/>
  <c r="BY60" i="3"/>
  <c r="BY33" i="3"/>
  <c r="BY58" i="3"/>
  <c r="BY64" i="3"/>
  <c r="BJ65" i="22740"/>
  <c r="J44" i="22742"/>
  <c r="EI72" i="22740"/>
  <c r="J45" i="22742" s="1"/>
  <c r="G36" i="22714" l="1"/>
  <c r="F36" i="22714"/>
  <c r="CE70" i="3"/>
  <c r="CD64" i="3" s="1"/>
  <c r="CE64" i="3" s="1"/>
  <c r="C36" i="22714"/>
  <c r="BJ66" i="22740"/>
  <c r="BJ67" i="22740" s="1"/>
  <c r="BK49" i="22740" l="1"/>
  <c r="BK48" i="22740"/>
  <c r="BK65" i="22740"/>
  <c r="BK19" i="22740"/>
  <c r="BK18" i="22740"/>
  <c r="CE65" i="3"/>
  <c r="BK66" i="22740"/>
  <c r="BK47" i="22740"/>
  <c r="BK28" i="22740"/>
  <c r="BK16" i="22740"/>
  <c r="BK39" i="22740"/>
  <c r="BJ71" i="22740"/>
  <c r="BK29" i="22740"/>
  <c r="BK67" i="22740"/>
  <c r="BK57" i="22740"/>
  <c r="BK62" i="22740"/>
  <c r="BK45" i="22740"/>
  <c r="BK54" i="22740"/>
  <c r="BK41" i="22740"/>
  <c r="BK56" i="22740"/>
  <c r="BK55" i="22740"/>
  <c r="BK60" i="22740"/>
  <c r="BK35" i="22740"/>
  <c r="BK61" i="22740"/>
  <c r="BK17" i="22740"/>
  <c r="BK53" i="22740"/>
  <c r="BK33" i="22740"/>
  <c r="BK52" i="22740"/>
  <c r="BK32" i="22740"/>
  <c r="BK30" i="22740"/>
  <c r="BK37" i="22740"/>
  <c r="BK40" i="22740"/>
  <c r="BK46" i="22740"/>
  <c r="BK31" i="22740"/>
  <c r="E34" i="22742"/>
  <c r="BK63" i="22740"/>
  <c r="BK50" i="22740"/>
  <c r="BK36" i="22740"/>
  <c r="BJ69" i="22740"/>
  <c r="BK42" i="22740"/>
  <c r="BK44" i="22740"/>
  <c r="BK58" i="22740"/>
  <c r="BK64" i="22740"/>
  <c r="CE66" i="3" l="1"/>
  <c r="CE67" i="3" s="1"/>
  <c r="CF65" i="3" s="1"/>
  <c r="G34" i="22742"/>
  <c r="F34" i="22742"/>
  <c r="C34" i="22742"/>
  <c r="BQ70" i="22740"/>
  <c r="BP64" i="22740" s="1"/>
  <c r="BQ64" i="22740" s="1"/>
  <c r="CF66" i="3" l="1"/>
  <c r="CF33" i="3"/>
  <c r="CF30" i="3"/>
  <c r="CE71" i="3"/>
  <c r="CF67" i="3"/>
  <c r="CF35" i="3"/>
  <c r="CF17" i="3"/>
  <c r="CF49" i="3"/>
  <c r="CF53" i="3"/>
  <c r="CF28" i="3"/>
  <c r="CF39" i="3"/>
  <c r="CF45" i="3"/>
  <c r="E37" i="22714"/>
  <c r="CF44" i="3"/>
  <c r="CF40" i="3"/>
  <c r="CF61" i="3"/>
  <c r="CF52" i="3"/>
  <c r="CF47" i="3"/>
  <c r="CF57" i="3"/>
  <c r="CF29" i="3"/>
  <c r="CF50" i="3"/>
  <c r="CE69" i="3"/>
  <c r="CF37" i="3"/>
  <c r="CF60" i="3"/>
  <c r="CF62" i="3"/>
  <c r="CF36" i="3"/>
  <c r="CF42" i="3"/>
  <c r="CF55" i="3"/>
  <c r="CF56" i="3"/>
  <c r="CF31" i="3"/>
  <c r="CF41" i="3"/>
  <c r="CF16" i="3"/>
  <c r="CF63" i="3"/>
  <c r="CF19" i="3"/>
  <c r="CF46" i="3"/>
  <c r="CF58" i="3"/>
  <c r="CF54" i="3"/>
  <c r="CF32" i="3"/>
  <c r="CF64" i="3"/>
  <c r="BQ65" i="22740"/>
  <c r="F37" i="22714" l="1"/>
  <c r="G37" i="22714"/>
  <c r="C37" i="22714"/>
  <c r="CL70" i="3"/>
  <c r="CK64" i="3" s="1"/>
  <c r="CL64" i="3" s="1"/>
  <c r="CL65" i="3" s="1"/>
  <c r="CL66" i="3" s="1"/>
  <c r="CL67" i="3" s="1"/>
  <c r="BQ66" i="22740"/>
  <c r="CM66" i="3" l="1"/>
  <c r="CM59" i="3"/>
  <c r="CM64" i="3"/>
  <c r="CM35" i="3"/>
  <c r="CM45" i="3"/>
  <c r="CM32" i="3"/>
  <c r="CM47" i="3"/>
  <c r="CM54" i="3"/>
  <c r="CM30" i="3"/>
  <c r="CM55" i="3"/>
  <c r="CM61" i="3"/>
  <c r="CM49" i="3"/>
  <c r="CM62" i="3"/>
  <c r="CM39" i="3"/>
  <c r="CM63" i="3"/>
  <c r="CM19" i="3"/>
  <c r="CL71" i="3"/>
  <c r="C38" i="22714" s="1"/>
  <c r="CM46" i="3"/>
  <c r="CM17" i="3"/>
  <c r="CM50" i="3"/>
  <c r="CM41" i="3"/>
  <c r="CM65" i="3"/>
  <c r="CM53" i="3"/>
  <c r="CM36" i="3"/>
  <c r="CL69" i="3"/>
  <c r="CM28" i="3"/>
  <c r="CM37" i="3"/>
  <c r="CM58" i="3"/>
  <c r="CM33" i="3"/>
  <c r="CM44" i="3"/>
  <c r="CM31" i="3"/>
  <c r="CM57" i="3"/>
  <c r="CM52" i="3"/>
  <c r="CM16" i="3"/>
  <c r="CM42" i="3"/>
  <c r="CM56" i="3"/>
  <c r="CM60" i="3"/>
  <c r="E38" i="22714"/>
  <c r="F38" i="22714" s="1"/>
  <c r="CM40" i="3"/>
  <c r="CM29" i="3"/>
  <c r="CM67" i="3"/>
  <c r="BQ67" i="22740"/>
  <c r="BR48" i="22740" s="1"/>
  <c r="BR66" i="22740" l="1"/>
  <c r="BR18" i="22740"/>
  <c r="BR19" i="22740"/>
  <c r="CS70" i="3"/>
  <c r="CR64" i="3" s="1"/>
  <c r="CS64" i="3" s="1"/>
  <c r="CS65" i="3" s="1"/>
  <c r="G38" i="22714"/>
  <c r="BR36" i="22740"/>
  <c r="BR58" i="22740"/>
  <c r="BR29" i="22740"/>
  <c r="BR63" i="22740"/>
  <c r="BR30" i="22740"/>
  <c r="BR53" i="22740"/>
  <c r="BQ71" i="22740"/>
  <c r="BR57" i="22740"/>
  <c r="BR32" i="22740"/>
  <c r="BR42" i="22740"/>
  <c r="BR47" i="22740"/>
  <c r="BR45" i="22740"/>
  <c r="BQ69" i="22740"/>
  <c r="BR16" i="22740"/>
  <c r="BR33" i="22740"/>
  <c r="BR60" i="22740"/>
  <c r="BR35" i="22740"/>
  <c r="BR56" i="22740"/>
  <c r="BR37" i="22740"/>
  <c r="BR40" i="22740"/>
  <c r="E35" i="22742"/>
  <c r="BR49" i="22740"/>
  <c r="BR31" i="22740"/>
  <c r="BR61" i="22740"/>
  <c r="BR46" i="22740"/>
  <c r="BR17" i="22740"/>
  <c r="BR50" i="22740"/>
  <c r="BR67" i="22740"/>
  <c r="BR54" i="22740"/>
  <c r="BR39" i="22740"/>
  <c r="BR55" i="22740"/>
  <c r="BR52" i="22740"/>
  <c r="BR28" i="22740"/>
  <c r="BR41" i="22740"/>
  <c r="BR62" i="22740"/>
  <c r="BR64" i="22740"/>
  <c r="BR65" i="22740"/>
  <c r="BX70" i="22740" l="1"/>
  <c r="BW64" i="22740" s="1"/>
  <c r="BX64" i="22740" s="1"/>
  <c r="C35" i="22742"/>
  <c r="CS66" i="3"/>
  <c r="G35" i="22742"/>
  <c r="F35" i="22742"/>
  <c r="CS67" i="3" l="1"/>
  <c r="BX65" i="22740"/>
  <c r="CT66" i="3" l="1"/>
  <c r="CT59" i="3"/>
  <c r="BX66" i="22740"/>
  <c r="BX67" i="22740" s="1"/>
  <c r="BY48" i="22740" s="1"/>
  <c r="CT31" i="3"/>
  <c r="CT45" i="3"/>
  <c r="CT40" i="3"/>
  <c r="CT37" i="3"/>
  <c r="CT52" i="3"/>
  <c r="CT19" i="3"/>
  <c r="CT33" i="3"/>
  <c r="CT49" i="3"/>
  <c r="CT63" i="3"/>
  <c r="CT42" i="3"/>
  <c r="CT58" i="3"/>
  <c r="CT67" i="3"/>
  <c r="CT30" i="3"/>
  <c r="CT28" i="3"/>
  <c r="CT60" i="3"/>
  <c r="CT61" i="3"/>
  <c r="CT56" i="3"/>
  <c r="CT55" i="3"/>
  <c r="CT41" i="3"/>
  <c r="CT44" i="3"/>
  <c r="CT35" i="3"/>
  <c r="CS71" i="3"/>
  <c r="CT57" i="3"/>
  <c r="E39" i="22714"/>
  <c r="CT17" i="3"/>
  <c r="CT16" i="3"/>
  <c r="CT32" i="3"/>
  <c r="CT54" i="3"/>
  <c r="CT29" i="3"/>
  <c r="CS69" i="3"/>
  <c r="CT47" i="3"/>
  <c r="CT39" i="3"/>
  <c r="CT46" i="3"/>
  <c r="CT53" i="3"/>
  <c r="CT36" i="3"/>
  <c r="CT62" i="3"/>
  <c r="CT50" i="3"/>
  <c r="CT64" i="3"/>
  <c r="CT65" i="3"/>
  <c r="BY65" i="22740" l="1"/>
  <c r="BY18" i="22740"/>
  <c r="G39" i="22714"/>
  <c r="F39" i="22714"/>
  <c r="C39" i="22714"/>
  <c r="CZ70" i="3"/>
  <c r="CY64" i="3" s="1"/>
  <c r="CZ64" i="3" s="1"/>
  <c r="BY66" i="22740"/>
  <c r="BY31" i="22740"/>
  <c r="BY17" i="22740"/>
  <c r="BY42" i="22740"/>
  <c r="BX69" i="22740"/>
  <c r="BY19" i="22740"/>
  <c r="BY35" i="22740"/>
  <c r="BY33" i="22740"/>
  <c r="BY54" i="22740"/>
  <c r="BY40" i="22740"/>
  <c r="BX71" i="22740"/>
  <c r="BY56" i="22740"/>
  <c r="BY53" i="22740"/>
  <c r="BY52" i="22740"/>
  <c r="BY49" i="22740"/>
  <c r="BY45" i="22740"/>
  <c r="BY32" i="22740"/>
  <c r="E36" i="22742"/>
  <c r="BY29" i="22740"/>
  <c r="BY46" i="22740"/>
  <c r="BY67" i="22740"/>
  <c r="BY16" i="22740"/>
  <c r="BY57" i="22740"/>
  <c r="BY47" i="22740"/>
  <c r="BY41" i="22740"/>
  <c r="BY37" i="22740"/>
  <c r="BY60" i="22740"/>
  <c r="BY58" i="22740"/>
  <c r="BY50" i="22740"/>
  <c r="BY28" i="22740"/>
  <c r="BY63" i="22740"/>
  <c r="BY39" i="22740"/>
  <c r="BY55" i="22740"/>
  <c r="BY30" i="22740"/>
  <c r="BY61" i="22740"/>
  <c r="BY62" i="22740"/>
  <c r="BY64" i="22740"/>
  <c r="BY36" i="22740" l="1"/>
  <c r="F36" i="22742"/>
  <c r="G36" i="22742"/>
  <c r="CZ65" i="3"/>
  <c r="CE70" i="22740"/>
  <c r="CD64" i="22740" s="1"/>
  <c r="CE64" i="22740" s="1"/>
  <c r="C36" i="22742"/>
  <c r="CZ66" i="3" l="1"/>
  <c r="CE65" i="22740"/>
  <c r="CE66" i="22740" l="1"/>
  <c r="CZ67" i="3"/>
  <c r="DA66" i="3" l="1"/>
  <c r="DA59" i="3"/>
  <c r="DA56" i="3"/>
  <c r="DA42" i="3"/>
  <c r="DA31" i="3"/>
  <c r="DA32" i="3"/>
  <c r="DA19" i="3"/>
  <c r="DA45" i="3"/>
  <c r="DA57" i="3"/>
  <c r="E40" i="22714"/>
  <c r="DA58" i="3"/>
  <c r="DA29" i="3"/>
  <c r="DA37" i="3"/>
  <c r="CZ71" i="3"/>
  <c r="DA61" i="3"/>
  <c r="DA33" i="3"/>
  <c r="DA41" i="3"/>
  <c r="DA30" i="3"/>
  <c r="DA16" i="3"/>
  <c r="DA44" i="3"/>
  <c r="DA35" i="3"/>
  <c r="DA17" i="3"/>
  <c r="DA60" i="3"/>
  <c r="DA49" i="3"/>
  <c r="DA63" i="3"/>
  <c r="DA52" i="3"/>
  <c r="DA55" i="3"/>
  <c r="DA54" i="3"/>
  <c r="DA28" i="3"/>
  <c r="DA67" i="3"/>
  <c r="DA40" i="3"/>
  <c r="CZ69" i="3"/>
  <c r="DA36" i="3"/>
  <c r="DA39" i="3"/>
  <c r="DA47" i="3"/>
  <c r="DA50" i="3"/>
  <c r="DA53" i="3"/>
  <c r="DA46" i="3"/>
  <c r="DA62" i="3"/>
  <c r="DA64" i="3"/>
  <c r="DA65" i="3"/>
  <c r="CE67" i="22740"/>
  <c r="CF48" i="22740" s="1"/>
  <c r="CF66" i="22740" l="1"/>
  <c r="CF18" i="22740"/>
  <c r="CF61" i="22740"/>
  <c r="CF46" i="22740"/>
  <c r="CF42" i="22740"/>
  <c r="CF55" i="22740"/>
  <c r="CF37" i="22740"/>
  <c r="CF31" i="22740"/>
  <c r="CF35" i="22740"/>
  <c r="CF50" i="22740"/>
  <c r="CF45" i="22740"/>
  <c r="CF29" i="22740"/>
  <c r="CF57" i="22740"/>
  <c r="CF53" i="22740"/>
  <c r="CF52" i="22740"/>
  <c r="CF17" i="22740"/>
  <c r="CF67" i="22740"/>
  <c r="CF56" i="22740"/>
  <c r="CF28" i="22740"/>
  <c r="CF63" i="22740"/>
  <c r="CF41" i="22740"/>
  <c r="CF19" i="22740"/>
  <c r="CF58" i="22740"/>
  <c r="CF32" i="22740"/>
  <c r="CF33" i="22740"/>
  <c r="CF47" i="22740"/>
  <c r="CF60" i="22740"/>
  <c r="E37" i="22742"/>
  <c r="CF49" i="22740"/>
  <c r="CE69" i="22740"/>
  <c r="CF36" i="22740"/>
  <c r="CF30" i="22740"/>
  <c r="CF54" i="22740"/>
  <c r="CF39" i="22740"/>
  <c r="CF16" i="22740"/>
  <c r="CF40" i="22740"/>
  <c r="CE71" i="22740"/>
  <c r="CF62" i="22740"/>
  <c r="CF64" i="22740"/>
  <c r="CF65" i="22740"/>
  <c r="C40" i="22714"/>
  <c r="DG70" i="3"/>
  <c r="DF64" i="3" s="1"/>
  <c r="DG64" i="3" s="1"/>
  <c r="F40" i="22714"/>
  <c r="G40" i="22714"/>
  <c r="G37" i="22742" l="1"/>
  <c r="F37" i="22742"/>
  <c r="C37" i="22742"/>
  <c r="CL70" i="22740"/>
  <c r="CK64" i="22740" s="1"/>
  <c r="CL64" i="22740" s="1"/>
  <c r="DG65" i="3"/>
  <c r="CL65" i="22740" l="1"/>
  <c r="DG66" i="3"/>
  <c r="DG67" i="3" l="1"/>
  <c r="CL66" i="22740"/>
  <c r="CL67" i="22740" s="1"/>
  <c r="CM48" i="22740" s="1"/>
  <c r="DH59" i="3" l="1"/>
  <c r="DH60" i="3"/>
  <c r="CM65" i="22740"/>
  <c r="CM18" i="22740"/>
  <c r="CM66" i="22740"/>
  <c r="CM37" i="22740"/>
  <c r="CM46" i="22740"/>
  <c r="CL69" i="22740"/>
  <c r="CM16" i="22740"/>
  <c r="CM41" i="22740"/>
  <c r="CM61" i="22740"/>
  <c r="CM35" i="22740"/>
  <c r="CM54" i="22740"/>
  <c r="CM36" i="22740"/>
  <c r="CM31" i="22740"/>
  <c r="CM67" i="22740"/>
  <c r="CM62" i="22740"/>
  <c r="CM55" i="22740"/>
  <c r="CM49" i="22740"/>
  <c r="CM60" i="22740"/>
  <c r="CM19" i="22740"/>
  <c r="CM33" i="22740"/>
  <c r="CL71" i="22740"/>
  <c r="CM58" i="22740"/>
  <c r="CM57" i="22740"/>
  <c r="CM53" i="22740"/>
  <c r="CM30" i="22740"/>
  <c r="CM47" i="22740"/>
  <c r="CM50" i="22740"/>
  <c r="CM40" i="22740"/>
  <c r="CM39" i="22740"/>
  <c r="E38" i="22742"/>
  <c r="CM45" i="22740"/>
  <c r="CM52" i="22740"/>
  <c r="CM17" i="22740"/>
  <c r="CM44" i="22740"/>
  <c r="CM63" i="22740"/>
  <c r="CM28" i="22740"/>
  <c r="CM32" i="22740"/>
  <c r="CM42" i="22740"/>
  <c r="CM29" i="22740"/>
  <c r="CM56" i="22740"/>
  <c r="CM64" i="22740"/>
  <c r="DH28" i="3"/>
  <c r="DH19" i="3"/>
  <c r="DH58" i="3"/>
  <c r="DH55" i="3"/>
  <c r="DH30" i="3"/>
  <c r="DH44" i="3"/>
  <c r="DG71" i="3"/>
  <c r="E41" i="22714"/>
  <c r="DH42" i="3"/>
  <c r="DH52" i="3"/>
  <c r="DH67" i="3"/>
  <c r="DH29" i="3"/>
  <c r="DH47" i="3"/>
  <c r="DH39" i="3"/>
  <c r="DH41" i="3"/>
  <c r="DH40" i="3"/>
  <c r="DH16" i="3"/>
  <c r="DH56" i="3"/>
  <c r="DH63" i="3"/>
  <c r="DH45" i="3"/>
  <c r="DH57" i="3"/>
  <c r="DH33" i="3"/>
  <c r="DH54" i="3"/>
  <c r="DH31" i="3"/>
  <c r="DH17" i="3"/>
  <c r="DH46" i="3"/>
  <c r="DG69" i="3"/>
  <c r="DH37" i="3"/>
  <c r="DH61" i="3"/>
  <c r="DH49" i="3"/>
  <c r="DH50" i="3"/>
  <c r="DH32" i="3"/>
  <c r="DH35" i="3"/>
  <c r="DH36" i="3"/>
  <c r="DH53" i="3"/>
  <c r="DH62" i="3"/>
  <c r="DH64" i="3"/>
  <c r="DH65" i="3"/>
  <c r="DH66" i="3"/>
  <c r="DN70" i="3" l="1"/>
  <c r="DM64" i="3" s="1"/>
  <c r="DN64" i="3" s="1"/>
  <c r="C41" i="22714"/>
  <c r="F41" i="22714"/>
  <c r="G41" i="22714"/>
  <c r="CS70" i="22740"/>
  <c r="CR64" i="22740" s="1"/>
  <c r="CS64" i="22740" s="1"/>
  <c r="C38" i="22742"/>
  <c r="F38" i="22742"/>
  <c r="G38" i="22742"/>
  <c r="CS65" i="22740" l="1"/>
  <c r="DN65" i="3"/>
  <c r="DN66" i="3" l="1"/>
  <c r="CS66" i="22740"/>
  <c r="CS67" i="22740" l="1"/>
  <c r="CT48" i="22740" s="1"/>
  <c r="DN67" i="3"/>
  <c r="DO66" i="3" l="1"/>
  <c r="DO59" i="3"/>
  <c r="DO60" i="3"/>
  <c r="CT66" i="22740"/>
  <c r="CT18" i="22740"/>
  <c r="DO55" i="3"/>
  <c r="DO44" i="3"/>
  <c r="DO35" i="3"/>
  <c r="DO29" i="3"/>
  <c r="DO41" i="3"/>
  <c r="DO19" i="3"/>
  <c r="DO17" i="3"/>
  <c r="DN69" i="3"/>
  <c r="DO61" i="3"/>
  <c r="DO30" i="3"/>
  <c r="DO52" i="3"/>
  <c r="DO56" i="3"/>
  <c r="DO28" i="3"/>
  <c r="DO67" i="3"/>
  <c r="DO31" i="3"/>
  <c r="DO45" i="3"/>
  <c r="DO58" i="3"/>
  <c r="DO37" i="3"/>
  <c r="DO42" i="3"/>
  <c r="DO49" i="3"/>
  <c r="DO63" i="3"/>
  <c r="E42" i="22714"/>
  <c r="DO40" i="3"/>
  <c r="DO32" i="3"/>
  <c r="DO54" i="3"/>
  <c r="DO16" i="3"/>
  <c r="DN71" i="3"/>
  <c r="DO33" i="3"/>
  <c r="DO57" i="3"/>
  <c r="DO47" i="3"/>
  <c r="DO39" i="3"/>
  <c r="DO53" i="3"/>
  <c r="DO46" i="3"/>
  <c r="DO50" i="3"/>
  <c r="DO36" i="3"/>
  <c r="DO62" i="3"/>
  <c r="DO64" i="3"/>
  <c r="DO65" i="3"/>
  <c r="CT35" i="22740"/>
  <c r="CT55" i="22740"/>
  <c r="CT33" i="22740"/>
  <c r="CT53" i="22740"/>
  <c r="CT47" i="22740"/>
  <c r="CT37" i="22740"/>
  <c r="CT29" i="22740"/>
  <c r="CT54" i="22740"/>
  <c r="CT17" i="22740"/>
  <c r="CT50" i="22740"/>
  <c r="CT62" i="22740"/>
  <c r="CT40" i="22740"/>
  <c r="CT42" i="22740"/>
  <c r="CT19" i="22740"/>
  <c r="CT36" i="22740"/>
  <c r="CT58" i="22740"/>
  <c r="CT57" i="22740"/>
  <c r="CT63" i="22740"/>
  <c r="CT32" i="22740"/>
  <c r="CT60" i="22740"/>
  <c r="CT67" i="22740"/>
  <c r="CS69" i="22740"/>
  <c r="CT30" i="22740"/>
  <c r="CT31" i="22740"/>
  <c r="CT16" i="22740"/>
  <c r="CT45" i="22740"/>
  <c r="CT44" i="22740"/>
  <c r="CT61" i="22740"/>
  <c r="CT41" i="22740"/>
  <c r="E39" i="22742"/>
  <c r="CT28" i="22740"/>
  <c r="CT52" i="22740"/>
  <c r="CT39" i="22740"/>
  <c r="CT46" i="22740"/>
  <c r="CT49" i="22740"/>
  <c r="CS71" i="22740"/>
  <c r="CT56" i="22740"/>
  <c r="CT64" i="22740"/>
  <c r="CT65" i="22740"/>
  <c r="F39" i="22742" l="1"/>
  <c r="G39" i="22742"/>
  <c r="C42" i="22714"/>
  <c r="DU70" i="3"/>
  <c r="DT64" i="3" s="1"/>
  <c r="DU64" i="3" s="1"/>
  <c r="C39" i="22742"/>
  <c r="CZ70" i="22740"/>
  <c r="CY64" i="22740" s="1"/>
  <c r="CZ64" i="22740" s="1"/>
  <c r="F42" i="22714"/>
  <c r="G42" i="22714"/>
  <c r="DU65" i="3" l="1"/>
  <c r="CZ65" i="22740"/>
  <c r="CZ66" i="22740" l="1"/>
  <c r="CZ67" i="22740" s="1"/>
  <c r="DA48" i="22740" s="1"/>
  <c r="DU66" i="3"/>
  <c r="DA65" i="22740" l="1"/>
  <c r="DA18" i="22740"/>
  <c r="DU67" i="3"/>
  <c r="DV59" i="3" s="1"/>
  <c r="DA66" i="22740"/>
  <c r="DA16" i="22740"/>
  <c r="DA45" i="22740"/>
  <c r="DA31" i="22740"/>
  <c r="DA17" i="22740"/>
  <c r="E40" i="22742"/>
  <c r="DA33" i="22740"/>
  <c r="DA56" i="22740"/>
  <c r="DA62" i="22740"/>
  <c r="DA44" i="22740"/>
  <c r="DA36" i="22740"/>
  <c r="DA40" i="22740"/>
  <c r="CZ71" i="22740"/>
  <c r="DA60" i="22740"/>
  <c r="DA39" i="22740"/>
  <c r="DA50" i="22740"/>
  <c r="DA46" i="22740"/>
  <c r="DA58" i="22740"/>
  <c r="DA37" i="22740"/>
  <c r="DA49" i="22740"/>
  <c r="DA30" i="22740"/>
  <c r="DA47" i="22740"/>
  <c r="DA41" i="22740"/>
  <c r="DA19" i="22740"/>
  <c r="DA35" i="22740"/>
  <c r="DA42" i="22740"/>
  <c r="DA52" i="22740"/>
  <c r="DA67" i="22740"/>
  <c r="DA28" i="22740"/>
  <c r="CZ69" i="22740"/>
  <c r="DA32" i="22740"/>
  <c r="DA53" i="22740"/>
  <c r="DA55" i="22740"/>
  <c r="DA61" i="22740"/>
  <c r="DA63" i="22740"/>
  <c r="DA29" i="22740"/>
  <c r="DA54" i="22740"/>
  <c r="DA57" i="22740"/>
  <c r="DA64" i="22740"/>
  <c r="DV44" i="3" l="1"/>
  <c r="DV17" i="3"/>
  <c r="DV32" i="3"/>
  <c r="DV33" i="3"/>
  <c r="DV37" i="3"/>
  <c r="DV29" i="3"/>
  <c r="DV40" i="3"/>
  <c r="DV45" i="3"/>
  <c r="DV58" i="3"/>
  <c r="DV63" i="3"/>
  <c r="DU69" i="3"/>
  <c r="DV35" i="3"/>
  <c r="DV62" i="3"/>
  <c r="DV52" i="3"/>
  <c r="DV31" i="3"/>
  <c r="E43" i="22714"/>
  <c r="DV57" i="3"/>
  <c r="DV61" i="3"/>
  <c r="DV54" i="3"/>
  <c r="DV28" i="3"/>
  <c r="DV49" i="3"/>
  <c r="DV56" i="3"/>
  <c r="DV53" i="3"/>
  <c r="DV67" i="3"/>
  <c r="DV30" i="3"/>
  <c r="DV55" i="3"/>
  <c r="DV60" i="3"/>
  <c r="DV42" i="3"/>
  <c r="DV16" i="3"/>
  <c r="DV19" i="3"/>
  <c r="DV41" i="3"/>
  <c r="DU71" i="3"/>
  <c r="DV39" i="3"/>
  <c r="DV47" i="3"/>
  <c r="DV36" i="3"/>
  <c r="DV46" i="3"/>
  <c r="DV50" i="3"/>
  <c r="DV64" i="3"/>
  <c r="DV65" i="3"/>
  <c r="DG70" i="22740"/>
  <c r="DF64" i="22740" s="1"/>
  <c r="DG64" i="22740" s="1"/>
  <c r="C40" i="22742"/>
  <c r="F40" i="22742"/>
  <c r="G40" i="22742"/>
  <c r="DV66" i="3"/>
  <c r="DG65" i="22740" l="1"/>
  <c r="C43" i="22714"/>
  <c r="EB70" i="3"/>
  <c r="EA64" i="3" s="1"/>
  <c r="EB64" i="3" s="1"/>
  <c r="J56" i="22715"/>
  <c r="H56" i="22715"/>
  <c r="G43" i="22714"/>
  <c r="F43" i="22714"/>
  <c r="I56" i="22715" l="1"/>
  <c r="EB65" i="3"/>
  <c r="DG66" i="22740"/>
  <c r="DG67" i="22740" s="1"/>
  <c r="DH65" i="22740" l="1"/>
  <c r="DH49" i="22740"/>
  <c r="DH48" i="22740"/>
  <c r="DH66" i="22740"/>
  <c r="DH50" i="22740"/>
  <c r="DH61" i="22740"/>
  <c r="DH54" i="22740"/>
  <c r="DH28" i="22740"/>
  <c r="DH17" i="22740"/>
  <c r="DH45" i="22740"/>
  <c r="E41" i="22742"/>
  <c r="DH57" i="22740"/>
  <c r="DH39" i="22740"/>
  <c r="DH37" i="22740"/>
  <c r="DH53" i="22740"/>
  <c r="DH52" i="22740"/>
  <c r="DH42" i="22740"/>
  <c r="DH40" i="22740"/>
  <c r="DG69" i="22740"/>
  <c r="DH35" i="22740"/>
  <c r="DH36" i="22740"/>
  <c r="DH67" i="22740"/>
  <c r="DH30" i="22740"/>
  <c r="DH63" i="22740"/>
  <c r="DH58" i="22740"/>
  <c r="DH32" i="22740"/>
  <c r="DH55" i="22740"/>
  <c r="DH19" i="22740"/>
  <c r="DH46" i="22740"/>
  <c r="DH41" i="22740"/>
  <c r="DH29" i="22740"/>
  <c r="DG71" i="22740"/>
  <c r="DH44" i="22740"/>
  <c r="DH56" i="22740"/>
  <c r="DH62" i="22740"/>
  <c r="DH16" i="22740"/>
  <c r="DH47" i="22740"/>
  <c r="DH31" i="22740"/>
  <c r="DH33" i="22740"/>
  <c r="DH60" i="22740"/>
  <c r="DH64" i="22740"/>
  <c r="EB66" i="3"/>
  <c r="F41" i="22742" l="1"/>
  <c r="G41" i="22742"/>
  <c r="C41" i="22742"/>
  <c r="DN70" i="22740"/>
  <c r="DM64" i="22740" s="1"/>
  <c r="DN64" i="22740" s="1"/>
  <c r="DN65" i="22740" s="1"/>
  <c r="DN66" i="22740" s="1"/>
  <c r="DN67" i="22740" s="1"/>
  <c r="EB67" i="3"/>
  <c r="EC18" i="3" s="1"/>
  <c r="DO49" i="22740" l="1"/>
  <c r="DO48" i="22740"/>
  <c r="EC66" i="3"/>
  <c r="EC59" i="3"/>
  <c r="EC60" i="3"/>
  <c r="DO66" i="22740"/>
  <c r="DO18" i="22740"/>
  <c r="DO64" i="22740"/>
  <c r="DO17" i="22740"/>
  <c r="DO19" i="22740"/>
  <c r="DO31" i="22740"/>
  <c r="DO45" i="22740"/>
  <c r="DO40" i="22740"/>
  <c r="DO33" i="22740"/>
  <c r="DO42" i="22740"/>
  <c r="DO47" i="22740"/>
  <c r="DO32" i="22740"/>
  <c r="DO46" i="22740"/>
  <c r="DO39" i="22740"/>
  <c r="E42" i="22742"/>
  <c r="G42" i="22742" s="1"/>
  <c r="DO53" i="22740"/>
  <c r="DO29" i="22740"/>
  <c r="DO60" i="22740"/>
  <c r="DO61" i="22740"/>
  <c r="DO58" i="22740"/>
  <c r="DO50" i="22740"/>
  <c r="DO55" i="22740"/>
  <c r="DO56" i="22740"/>
  <c r="DO44" i="22740"/>
  <c r="DN71" i="22740"/>
  <c r="C42" i="22742" s="1"/>
  <c r="DO57" i="22740"/>
  <c r="DO36" i="22740"/>
  <c r="DO52" i="22740"/>
  <c r="DO41" i="22740"/>
  <c r="DO35" i="22740"/>
  <c r="DO30" i="22740"/>
  <c r="DO65" i="22740"/>
  <c r="DO62" i="22740"/>
  <c r="DO54" i="22740"/>
  <c r="DO67" i="22740"/>
  <c r="DO37" i="22740"/>
  <c r="DN69" i="22740"/>
  <c r="DO28" i="22740"/>
  <c r="DO63" i="22740"/>
  <c r="DO16" i="22740"/>
  <c r="EC58" i="3"/>
  <c r="EC56" i="3"/>
  <c r="EC28" i="3"/>
  <c r="EC62" i="3"/>
  <c r="EC32" i="3"/>
  <c r="EC35" i="3"/>
  <c r="EC50" i="3"/>
  <c r="EC49" i="3"/>
  <c r="EB71" i="3"/>
  <c r="EC30" i="3"/>
  <c r="EC61" i="3"/>
  <c r="EB69" i="3"/>
  <c r="EC47" i="3"/>
  <c r="EC44" i="3"/>
  <c r="EC16" i="3"/>
  <c r="EC19" i="3"/>
  <c r="EC53" i="3"/>
  <c r="EC17" i="3"/>
  <c r="EC37" i="3"/>
  <c r="EC52" i="3"/>
  <c r="EC46" i="3"/>
  <c r="EC67" i="3"/>
  <c r="EC45" i="3"/>
  <c r="EC31" i="3"/>
  <c r="EC41" i="3"/>
  <c r="EC33" i="3"/>
  <c r="EC40" i="3"/>
  <c r="EC54" i="3"/>
  <c r="EC57" i="3"/>
  <c r="EC42" i="3"/>
  <c r="EC29" i="3"/>
  <c r="EC55" i="3"/>
  <c r="E44" i="22714"/>
  <c r="EC63" i="3"/>
  <c r="EC39" i="3"/>
  <c r="EC36" i="3"/>
  <c r="EC64" i="3"/>
  <c r="EC65" i="3"/>
  <c r="DU70" i="22740" l="1"/>
  <c r="DT64" i="22740" s="1"/>
  <c r="DU64" i="22740" s="1"/>
  <c r="DU65" i="22740" s="1"/>
  <c r="F42" i="22742"/>
  <c r="F44" i="22714"/>
  <c r="G44" i="22714"/>
  <c r="EI70" i="3"/>
  <c r="EH64" i="3" s="1"/>
  <c r="EI64" i="3" s="1"/>
  <c r="C44" i="22714"/>
  <c r="EI65" i="3" l="1"/>
  <c r="DU66" i="22740"/>
  <c r="EI66" i="3" l="1"/>
  <c r="DU67" i="22740"/>
  <c r="DV18" i="22740" l="1"/>
  <c r="DV48" i="22740"/>
  <c r="EI67" i="3"/>
  <c r="E43" i="22742"/>
  <c r="DV42" i="22740"/>
  <c r="DV45" i="22740"/>
  <c r="DV44" i="22740"/>
  <c r="DV19" i="22740"/>
  <c r="DV28" i="22740"/>
  <c r="DV41" i="22740"/>
  <c r="DV55" i="22740"/>
  <c r="DU69" i="22740"/>
  <c r="DV17" i="22740"/>
  <c r="DV36" i="22740"/>
  <c r="DV54" i="22740"/>
  <c r="DV31" i="22740"/>
  <c r="DV35" i="22740"/>
  <c r="DV49" i="22740"/>
  <c r="DV16" i="22740"/>
  <c r="DV50" i="22740"/>
  <c r="DV30" i="22740"/>
  <c r="DV63" i="22740"/>
  <c r="DV67" i="22740"/>
  <c r="DV52" i="22740"/>
  <c r="DV32" i="22740"/>
  <c r="DV39" i="22740"/>
  <c r="DV29" i="22740"/>
  <c r="DV60" i="22740"/>
  <c r="DV47" i="22740"/>
  <c r="DV37" i="22740"/>
  <c r="DV53" i="22740"/>
  <c r="DV61" i="22740"/>
  <c r="DU71" i="22740"/>
  <c r="DV40" i="22740"/>
  <c r="DV46" i="22740"/>
  <c r="DV33" i="22740"/>
  <c r="DV58" i="22740"/>
  <c r="DV56" i="22740"/>
  <c r="DV57" i="22740"/>
  <c r="DV62" i="22740"/>
  <c r="DV64" i="22740"/>
  <c r="DV65" i="22740"/>
  <c r="DV66" i="22740"/>
  <c r="EJ59" i="3" l="1"/>
  <c r="EJ18" i="3"/>
  <c r="EJ19" i="3"/>
  <c r="EJ47" i="3"/>
  <c r="E45" i="22714"/>
  <c r="EJ28" i="3"/>
  <c r="EI69" i="3"/>
  <c r="EJ58" i="3"/>
  <c r="EJ41" i="3"/>
  <c r="EJ31" i="3"/>
  <c r="EJ67" i="3"/>
  <c r="EJ33" i="3"/>
  <c r="EJ57" i="3"/>
  <c r="EJ40" i="3"/>
  <c r="EJ49" i="3"/>
  <c r="EJ55" i="3"/>
  <c r="EJ42" i="3"/>
  <c r="EJ30" i="3"/>
  <c r="EJ32" i="3"/>
  <c r="EI71" i="3"/>
  <c r="C45" i="22714" s="1"/>
  <c r="C48" i="22714" s="1"/>
  <c r="EJ37" i="3"/>
  <c r="EJ45" i="3"/>
  <c r="EJ54" i="3"/>
  <c r="EJ35" i="3"/>
  <c r="EJ16" i="3"/>
  <c r="EJ52" i="3"/>
  <c r="EJ44" i="3"/>
  <c r="EJ29" i="3"/>
  <c r="EJ63" i="3"/>
  <c r="EJ56" i="3"/>
  <c r="EJ61" i="3"/>
  <c r="EJ17" i="3"/>
  <c r="EJ60" i="3"/>
  <c r="EJ36" i="3"/>
  <c r="EJ39" i="3"/>
  <c r="EJ46" i="3"/>
  <c r="EJ53" i="3"/>
  <c r="EJ62" i="3"/>
  <c r="EJ50" i="3"/>
  <c r="EJ64" i="3"/>
  <c r="EJ65" i="3"/>
  <c r="EJ66" i="3"/>
  <c r="C43" i="22742"/>
  <c r="EB70" i="22740"/>
  <c r="EA64" i="22740" s="1"/>
  <c r="EB64" i="22740" s="1"/>
  <c r="G43" i="22742"/>
  <c r="F43" i="22742"/>
  <c r="G45" i="22714" l="1"/>
  <c r="F45" i="22714"/>
  <c r="EB65" i="22740"/>
  <c r="EB66" i="22740" l="1"/>
  <c r="EB67" i="22740" l="1"/>
  <c r="EC18" i="22740" l="1"/>
  <c r="EC48" i="22740"/>
  <c r="EC36" i="22740"/>
  <c r="EC61" i="22740"/>
  <c r="EC63" i="22740"/>
  <c r="EB69" i="22740"/>
  <c r="EC50" i="22740"/>
  <c r="EC40" i="22740"/>
  <c r="EC16" i="22740"/>
  <c r="EC45" i="22740"/>
  <c r="EC52" i="22740"/>
  <c r="EC32" i="22740"/>
  <c r="EC46" i="22740"/>
  <c r="EB71" i="22740"/>
  <c r="EC33" i="22740"/>
  <c r="EC37" i="22740"/>
  <c r="EC49" i="22740"/>
  <c r="EC55" i="22740"/>
  <c r="EC53" i="22740"/>
  <c r="EC31" i="22740"/>
  <c r="EC35" i="22740"/>
  <c r="EC47" i="22740"/>
  <c r="EC41" i="22740"/>
  <c r="E44" i="22742"/>
  <c r="EC19" i="22740"/>
  <c r="EC67" i="22740"/>
  <c r="EC30" i="22740"/>
  <c r="EC17" i="22740"/>
  <c r="EC28" i="22740"/>
  <c r="EC39" i="22740"/>
  <c r="EC44" i="22740"/>
  <c r="EC42" i="22740"/>
  <c r="EC29" i="22740"/>
  <c r="EC54" i="22740"/>
  <c r="EC57" i="22740"/>
  <c r="EC56" i="22740"/>
  <c r="EC58" i="22740"/>
  <c r="EC60" i="22740"/>
  <c r="EC62" i="22740"/>
  <c r="EC64" i="22740"/>
  <c r="EC65" i="22740"/>
  <c r="EC66" i="22740"/>
  <c r="G44" i="22742" l="1"/>
  <c r="F44" i="22742"/>
  <c r="EI70" i="22740"/>
  <c r="EH64" i="22740" s="1"/>
  <c r="EI64" i="22740" s="1"/>
  <c r="C44" i="22742"/>
  <c r="EI65" i="22740" l="1"/>
  <c r="EI66" i="22740" l="1"/>
  <c r="EI67" i="22740" l="1"/>
  <c r="EJ48" i="22740" s="1"/>
  <c r="EJ66" i="22740" l="1"/>
  <c r="EJ18" i="22740"/>
  <c r="EJ67" i="22740"/>
  <c r="EJ16" i="22740"/>
  <c r="EJ30" i="22740"/>
  <c r="EJ42" i="22740"/>
  <c r="EJ36" i="22740"/>
  <c r="EJ45" i="22740"/>
  <c r="EJ49" i="22740"/>
  <c r="EJ61" i="22740"/>
  <c r="EJ40" i="22740"/>
  <c r="EJ46" i="22740"/>
  <c r="EJ31" i="22740"/>
  <c r="EJ54" i="22740"/>
  <c r="EJ53" i="22740"/>
  <c r="EJ55" i="22740"/>
  <c r="EJ47" i="22740"/>
  <c r="EJ37" i="22740"/>
  <c r="EI71" i="22740"/>
  <c r="C45" i="22742" s="1"/>
  <c r="C48" i="22742" s="1"/>
  <c r="EJ50" i="22740"/>
  <c r="EJ35" i="22740"/>
  <c r="EJ44" i="22740"/>
  <c r="EJ41" i="22740"/>
  <c r="EJ29" i="22740"/>
  <c r="EJ39" i="22740"/>
  <c r="EJ63" i="22740"/>
  <c r="EJ17" i="22740"/>
  <c r="EJ28" i="22740"/>
  <c r="EJ52" i="22740"/>
  <c r="EJ19" i="22740"/>
  <c r="EJ32" i="22740"/>
  <c r="E45" i="22742"/>
  <c r="EJ33" i="22740"/>
  <c r="EI69" i="22740"/>
  <c r="EJ58" i="22740"/>
  <c r="EJ56" i="22740"/>
  <c r="EJ57" i="22740"/>
  <c r="EJ60" i="22740"/>
  <c r="EJ62" i="22740"/>
  <c r="EJ64" i="22740"/>
  <c r="EJ65" i="22740"/>
  <c r="G45" i="22742" l="1"/>
  <c r="F45" i="2274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P. Mouron</author>
    <author>Esther Bravin</author>
  </authors>
  <commentList>
    <comment ref="C22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P. Mouron: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Traktor mit Normalspur möglich
Quelle: Anbauempf. Obstregion N-W-CH</t>
        </r>
      </text>
    </comment>
    <comment ref="C42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P. Mouron: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Nach FAT
genauer Faktor bei 12 Jahren Abschreibungsdauer: 0.542</t>
        </r>
      </text>
    </comment>
    <comment ref="B99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P. Mouron: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ohne Feuerbrandkontrolle</t>
        </r>
      </text>
    </comment>
    <comment ref="B109" authorId="1" shapeId="0" xr:uid="{00000000-0006-0000-0100-000004000000}">
      <text>
        <r>
          <rPr>
            <b/>
            <sz val="9"/>
            <color indexed="81"/>
            <rFont val="Segoe UI"/>
            <family val="2"/>
          </rPr>
          <t>Esther Bravin:</t>
        </r>
        <r>
          <rPr>
            <sz val="9"/>
            <color indexed="81"/>
            <rFont val="Segoe UI"/>
            <family val="2"/>
          </rPr>
          <t xml:space="preserve">
Kalksalpeter (Nitrabor, 15.5%, 95 Fr./100 kg) 
</t>
        </r>
      </text>
    </comment>
    <comment ref="C109" authorId="1" shapeId="0" xr:uid="{00000000-0006-0000-0100-000005000000}">
      <text>
        <r>
          <rPr>
            <b/>
            <sz val="9"/>
            <color indexed="81"/>
            <rFont val="Segoe UI"/>
            <family val="2"/>
          </rPr>
          <t>Esther Bravin:</t>
        </r>
        <r>
          <rPr>
            <sz val="9"/>
            <color indexed="81"/>
            <rFont val="Segoe UI"/>
            <family val="2"/>
          </rPr>
          <t xml:space="preserve">
Bsp: Dolomit</t>
        </r>
      </text>
    </comment>
    <comment ref="B124" authorId="1" shapeId="0" xr:uid="{00000000-0006-0000-0100-000006000000}">
      <text>
        <r>
          <rPr>
            <b/>
            <sz val="9"/>
            <color indexed="81"/>
            <rFont val="Segoe UI"/>
            <family val="2"/>
          </rPr>
          <t>Esther Bravin:</t>
        </r>
        <r>
          <rPr>
            <sz val="9"/>
            <color indexed="81"/>
            <rFont val="Segoe UI"/>
            <family val="2"/>
          </rPr>
          <t xml:space="preserve">
Max 60 kg/ha</t>
        </r>
      </text>
    </comment>
    <comment ref="H138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P. Mouron: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Annahme: Der  Motor läuft   nur  ¼  der Einsatzzeit während der Ernte.</t>
        </r>
      </text>
    </comment>
    <comment ref="D141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>P. Mouron: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Fr./Durchgang = Fr./ha , weil Arbokost die Kosten für 1 ha ausweist
FAT-Ansätze für fixe+variable Kosten</t>
        </r>
      </text>
    </comment>
    <comment ref="E145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>P. Mouron: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2 Pers pro Grosskiste</t>
        </r>
      </text>
    </comment>
    <comment ref="C163" authorId="0" shapeId="0" xr:uid="{00000000-0006-0000-0100-00000A000000}">
      <text>
        <r>
          <rPr>
            <b/>
            <sz val="8"/>
            <color indexed="81"/>
            <rFont val="Tahoma"/>
            <family val="2"/>
          </rPr>
          <t>P. Mouron:</t>
        </r>
        <r>
          <rPr>
            <sz val="8"/>
            <color indexed="81"/>
            <rFont val="Tahoma"/>
            <family val="2"/>
          </rPr>
          <t xml:space="preserve">
pro ha für Obstbau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P. Mouron</author>
    <author>zue</author>
  </authors>
  <commentList>
    <comment ref="E7" authorId="0" shapeId="0" xr:uid="{00000000-0006-0000-0B00-000001000000}">
      <text>
        <r>
          <rPr>
            <sz val="10"/>
            <color indexed="81"/>
            <rFont val="Tahoma"/>
            <family val="2"/>
          </rPr>
          <t>Kosten für Gebindebenutzung und Transport (vom Betrieb zur Genossenschaft) sind hier pauschal bereits abgezogen.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0" authorId="0" shapeId="0" xr:uid="{00000000-0006-0000-0B00-000002000000}">
      <text>
        <r>
          <rPr>
            <b/>
            <sz val="8"/>
            <color indexed="81"/>
            <rFont val="Tahoma"/>
            <family val="2"/>
          </rPr>
          <t>P. Mouron: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= Mostobst Sortierabgang + Mostobst ab Boden</t>
        </r>
      </text>
    </comment>
    <comment ref="D11" authorId="0" shapeId="0" xr:uid="{00000000-0006-0000-0B00-000003000000}">
      <text>
        <r>
          <rPr>
            <b/>
            <sz val="8"/>
            <color indexed="81"/>
            <rFont val="Tahoma"/>
            <family val="2"/>
          </rPr>
          <t>P. Mouron:</t>
        </r>
        <r>
          <rPr>
            <sz val="8"/>
            <color indexed="81"/>
            <rFont val="Tahoma"/>
            <family val="2"/>
          </rPr>
          <t xml:space="preserve">
durchschnittlich während Ertragsphase, Schäden durch Frost inkl.
Hingegen Hagelschaden nicht berücksichtigt, da Hagelversicherung.</t>
        </r>
      </text>
    </comment>
    <comment ref="E36" authorId="0" shapeId="0" xr:uid="{00000000-0006-0000-0B00-000004000000}">
      <text>
        <r>
          <rPr>
            <b/>
            <sz val="8"/>
            <color indexed="81"/>
            <rFont val="Tahoma"/>
            <family val="2"/>
          </rPr>
          <t>P. Mouron:</t>
        </r>
        <r>
          <rPr>
            <sz val="8"/>
            <color indexed="81"/>
            <rFont val="Tahoma"/>
            <family val="2"/>
          </rPr>
          <t xml:space="preserve">
Fr./Durchgang = Fr./ha weil Arbokost die Kosten für 1 ha ausweist
FAT-Ansätze für fixe+variable Kosten</t>
        </r>
      </text>
    </comment>
    <comment ref="C40" authorId="0" shapeId="0" xr:uid="{00000000-0006-0000-0B00-000005000000}">
      <text>
        <r>
          <rPr>
            <b/>
            <sz val="10"/>
            <color indexed="81"/>
            <rFont val="Tahoma"/>
            <family val="2"/>
          </rPr>
          <t>Berechnung der kg pro Fuder:</t>
        </r>
        <r>
          <rPr>
            <sz val="10"/>
            <color indexed="81"/>
            <rFont val="Tahoma"/>
            <family val="2"/>
          </rPr>
          <t xml:space="preserve">
Erntewagen für 4 Grosskisten (Zug):
4 Grosskosten à 300 kg = 1200 kg bei angenommer Auslastung 
von 80 % = 0.8*1200 = </t>
        </r>
        <r>
          <rPr>
            <b/>
            <sz val="10"/>
            <color indexed="81"/>
            <rFont val="Tahoma"/>
            <family val="2"/>
          </rPr>
          <t>960 kg pro Fuder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D44" authorId="0" shapeId="0" xr:uid="{00000000-0006-0000-0B00-000006000000}">
      <text>
        <r>
          <rPr>
            <sz val="10"/>
            <color indexed="81"/>
            <rFont val="Tahoma"/>
            <family val="2"/>
          </rPr>
          <t>Berechnung der Zugkraftstunden für Ernte:
Anzahl Fuder mal Erntezeit pro Fuder mal Auslastung der Zugkraft bei Ernte (0.25).</t>
        </r>
      </text>
    </comment>
    <comment ref="B55" authorId="1" shapeId="0" xr:uid="{00000000-0006-0000-0B00-000007000000}">
      <text>
        <r>
          <rPr>
            <b/>
            <sz val="10"/>
            <color indexed="81"/>
            <rFont val="Tahoma"/>
            <family val="2"/>
          </rPr>
          <t>zue:</t>
        </r>
        <r>
          <rPr>
            <sz val="10"/>
            <color indexed="81"/>
            <rFont val="Tahoma"/>
            <family val="2"/>
          </rPr>
          <t xml:space="preserve">
es wird davon ausgegangen, dass auch im 1.Jahr die Netze geöffnet und geschlossen werden</t>
        </r>
      </text>
    </comment>
    <comment ref="A74" authorId="0" shapeId="0" xr:uid="{00000000-0006-0000-0B00-000008000000}">
      <text>
        <r>
          <rPr>
            <b/>
            <sz val="8"/>
            <color indexed="81"/>
            <rFont val="Tahoma"/>
            <family val="2"/>
          </rPr>
          <t>P. Mouron: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Wenn dieser Betrag mit dem Gesamterlös im Durchschnitt nicht gedeckt werden kann, sollte die Parzelle gerodet werden.
Mit dem Betriebsminimum werden die variablen Kosten gedeckt. Nicht gedeckt sind: Abschreibung Obstanlage, Abschreibung Maschinen und Zinsanspruch</t>
        </r>
      </text>
    </comment>
    <comment ref="A86" authorId="0" shapeId="0" xr:uid="{00000000-0006-0000-0B00-000009000000}">
      <text>
        <r>
          <rPr>
            <b/>
            <sz val="8"/>
            <color indexed="81"/>
            <rFont val="Tahoma"/>
            <family val="2"/>
          </rPr>
          <t>P. Mouron: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siehe: Betriebswirtschaftliche Begriffe im Agrarbereich, LMZ 2000, S.112</t>
        </r>
      </text>
    </comment>
    <comment ref="A88" authorId="0" shapeId="0" xr:uid="{00000000-0006-0000-0B00-00000A000000}">
      <text>
        <r>
          <rPr>
            <b/>
            <sz val="8"/>
            <color indexed="81"/>
            <rFont val="Tahoma"/>
            <family val="2"/>
          </rPr>
          <t>P. Mouron: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Summe aus Zinsanspruch für das Eigenkapital und bezahlten Schuld- und Pachtzinsen ((Betriebswirtschaftliche Begriffe im Agrarbereich, LMZ 2000, S.110)
Hier: Zins für Investitionen und Boden.</t>
        </r>
      </text>
    </comment>
    <comment ref="A89" authorId="0" shapeId="0" xr:uid="{00000000-0006-0000-0B00-00000B000000}">
      <text>
        <r>
          <rPr>
            <b/>
            <sz val="8"/>
            <color indexed="81"/>
            <rFont val="Tahoma"/>
            <family val="2"/>
          </rPr>
          <t>P</t>
        </r>
        <r>
          <rPr>
            <b/>
            <sz val="10"/>
            <color indexed="81"/>
            <rFont val="Tahoma"/>
            <family val="2"/>
          </rPr>
          <t>. Mouron:</t>
        </r>
        <r>
          <rPr>
            <sz val="10"/>
            <color indexed="81"/>
            <rFont val="Tahoma"/>
            <family val="2"/>
          </rPr>
          <t xml:space="preserve">
Kosten für die in der Produktion eingesetzten Produktionsmittel </t>
        </r>
        <r>
          <rPr>
            <b/>
            <i/>
            <sz val="10"/>
            <color indexed="81"/>
            <rFont val="Tahoma"/>
            <family val="2"/>
          </rPr>
          <t>einschliesslich der Abschreibungen</t>
        </r>
        <r>
          <rPr>
            <sz val="10"/>
            <color indexed="81"/>
            <rFont val="Tahoma"/>
            <family val="2"/>
          </rPr>
          <t>, aber ohne die Entschädigung für die Produktionsfaktoren Arbeit und Kapital. (Betriebswirtschaftliche Begriffe im Agrarbereich, LMZ 2000, S.149)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Liebegg</author>
    <author>FAW</author>
  </authors>
  <commentList>
    <comment ref="B11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ACW:</t>
        </r>
        <r>
          <rPr>
            <sz val="8"/>
            <color indexed="81"/>
            <rFont val="Tahoma"/>
            <family val="2"/>
          </rPr>
          <t xml:space="preserve">
Anbohrschellen 50mmx3/4 21 Stck. à 4.80, Aufschraubnippel 3/4 x 20 mm 22 Stck. à 1.5, Tropfschlauchenden 22 à 70 Rp. (Quelle Anbauempehlung für die Obstregion NO-CH 2007)
</t>
        </r>
      </text>
    </comment>
    <comment ref="B14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ACW:</t>
        </r>
        <r>
          <rPr>
            <sz val="8"/>
            <color indexed="81"/>
            <rFont val="Tahoma"/>
            <family val="2"/>
          </rPr>
          <t xml:space="preserve">
Tropfschlauch Anschluss an Sektorenleitung 21 x 1 m 20mmà 1.-- (Quelle: Anbauempfehlung für die Obstregion NO-CH 2007)</t>
        </r>
      </text>
    </comment>
    <comment ref="B16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ACW:</t>
        </r>
        <r>
          <rPr>
            <sz val="8"/>
            <color indexed="81"/>
            <rFont val="Tahoma"/>
            <family val="2"/>
          </rPr>
          <t xml:space="preserve">
Sektorenleitung Zuleitung Kultur (Quelle Anbauempfehlung für die Obstregion NO-CH 2007)
Für Hauptlietung PE 63mm PN 12.5 bzw. PE ND 8 63 mm à 6.--</t>
        </r>
      </text>
    </comment>
    <comment ref="B19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>ACW:</t>
        </r>
        <r>
          <rPr>
            <sz val="8"/>
            <color indexed="81"/>
            <rFont val="Tahoma"/>
            <family val="2"/>
          </rPr>
          <t xml:space="preserve">
Sektorenleitungsendeverschluss 50mm 1 Stck à 10.80,
plus Anschlusskupplung 2" 50mm pro Sektor 1 (Quelle: Anbauempfehlung für die Obstregion NO-CH 2007)</t>
        </r>
      </text>
    </comment>
    <comment ref="F29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>Liebegg:</t>
        </r>
        <r>
          <rPr>
            <sz val="8"/>
            <color indexed="81"/>
            <rFont val="Tahoma"/>
            <family val="2"/>
          </rPr>
          <t xml:space="preserve">
Dosatron D8R</t>
        </r>
      </text>
    </comment>
    <comment ref="A31" authorId="1" shapeId="0" xr:uid="{00000000-0006-0000-0200-000006000000}">
      <text>
        <r>
          <rPr>
            <b/>
            <sz val="8"/>
            <color indexed="81"/>
            <rFont val="Tahoma"/>
            <family val="2"/>
          </rPr>
          <t>ACW:</t>
        </r>
        <r>
          <rPr>
            <sz val="8"/>
            <color indexed="81"/>
            <rFont val="Tahoma"/>
            <family val="2"/>
          </rPr>
          <t xml:space="preserve">
Inkl. Mehrwertsteuer</t>
        </r>
      </text>
    </comment>
    <comment ref="D62" authorId="0" shapeId="0" xr:uid="{00000000-0006-0000-0200-000007000000}">
      <text>
        <r>
          <rPr>
            <b/>
            <sz val="8"/>
            <color indexed="81"/>
            <rFont val="Tahoma"/>
            <family val="2"/>
          </rPr>
          <t>Liebegg:</t>
        </r>
        <r>
          <rPr>
            <sz val="8"/>
            <color indexed="81"/>
            <rFont val="Tahoma"/>
            <family val="2"/>
          </rPr>
          <t xml:space="preserve">
1 Sprinkler pro Baum</t>
        </r>
      </text>
    </comment>
    <comment ref="B63" authorId="0" shapeId="0" xr:uid="{00000000-0006-0000-0200-000008000000}">
      <text>
        <r>
          <rPr>
            <b/>
            <sz val="8"/>
            <color indexed="81"/>
            <rFont val="Tahoma"/>
            <family val="2"/>
          </rPr>
          <t>Liebegg:</t>
        </r>
        <r>
          <rPr>
            <sz val="8"/>
            <color indexed="81"/>
            <rFont val="Tahoma"/>
            <family val="2"/>
          </rPr>
          <t xml:space="preserve">
17 Stck. Anbohrschellen 50mmx3/4. à 4.80, 
17 Stck. Plasim Anschlusskupplung 3/4"x25mm à 4.80  
18 Stck. Plasim Schlauchkupplungen 25x25mm à 5.80
17 Stck. Plassim Schlauchenden  4.80</t>
        </r>
      </text>
    </comment>
    <comment ref="B65" authorId="0" shapeId="0" xr:uid="{00000000-0006-0000-0200-000009000000}">
      <text>
        <r>
          <rPr>
            <b/>
            <sz val="8"/>
            <color indexed="81"/>
            <rFont val="Tahoma"/>
            <family val="2"/>
          </rPr>
          <t>Liebegg:</t>
        </r>
        <r>
          <rPr>
            <sz val="8"/>
            <color indexed="81"/>
            <rFont val="Tahoma"/>
            <family val="2"/>
          </rPr>
          <t xml:space="preserve">
Schlauchaufhänger Blitzbinder 7 cm, kg à 490 Stck, 4 kg à 38.-</t>
        </r>
      </text>
    </comment>
    <comment ref="B68" authorId="0" shapeId="0" xr:uid="{00000000-0006-0000-0200-00000A000000}">
      <text>
        <r>
          <rPr>
            <b/>
            <sz val="8"/>
            <color indexed="81"/>
            <rFont val="Tahoma"/>
            <family val="2"/>
          </rPr>
          <t>Liebegg:</t>
        </r>
        <r>
          <rPr>
            <sz val="8"/>
            <color indexed="81"/>
            <rFont val="Tahoma"/>
            <family val="2"/>
          </rPr>
          <t xml:space="preserve">
Sektorenleitung Zuleitung Kultur
Für Hauptlietung PE 63mm PN 12.5 bzw. PE ND 8 63 mm à 6.--</t>
        </r>
      </text>
    </comment>
    <comment ref="B71" authorId="0" shapeId="0" xr:uid="{00000000-0006-0000-0200-00000B000000}">
      <text>
        <r>
          <rPr>
            <b/>
            <sz val="8"/>
            <color indexed="81"/>
            <rFont val="Tahoma"/>
            <family val="2"/>
          </rPr>
          <t>Liebegg:</t>
        </r>
        <r>
          <rPr>
            <sz val="8"/>
            <color indexed="81"/>
            <rFont val="Tahoma"/>
            <family val="2"/>
          </rPr>
          <t xml:space="preserve">
4 Stck Sektorenleitungsendeverschluss 50mm  à 10.80,
4 Anschlusskupplung 2" 50mm für  Sektoren  à 18.4 4 Sektoren
</t>
        </r>
      </text>
    </comment>
    <comment ref="B77" authorId="0" shapeId="0" xr:uid="{00000000-0006-0000-0200-00000C000000}">
      <text>
        <r>
          <rPr>
            <b/>
            <sz val="8"/>
            <color indexed="81"/>
            <rFont val="Tahoma"/>
            <family val="2"/>
          </rPr>
          <t>Liebegg:</t>
        </r>
        <r>
          <rPr>
            <sz val="8"/>
            <color indexed="81"/>
            <rFont val="Tahoma"/>
            <family val="2"/>
          </rPr>
          <t xml:space="preserve">
Bermet AC 24 Volt 1.5"</t>
        </r>
      </text>
    </comment>
    <comment ref="B78" authorId="0" shapeId="0" xr:uid="{00000000-0006-0000-0200-00000D000000}">
      <text>
        <r>
          <rPr>
            <b/>
            <sz val="8"/>
            <color indexed="81"/>
            <rFont val="Tahoma"/>
            <family val="2"/>
          </rPr>
          <t>Liebegg:</t>
        </r>
        <r>
          <rPr>
            <sz val="8"/>
            <color indexed="81"/>
            <rFont val="Tahoma"/>
            <family val="2"/>
          </rPr>
          <t xml:space="preserve">
Miracle Netz 220 V 6 Stationen inkl. Abdeckung Wasserdicht</t>
        </r>
      </text>
    </comment>
    <comment ref="B79" authorId="0" shapeId="0" xr:uid="{00000000-0006-0000-0200-00000E000000}">
      <text>
        <r>
          <rPr>
            <b/>
            <sz val="8"/>
            <color indexed="81"/>
            <rFont val="Tahoma"/>
            <family val="2"/>
          </rPr>
          <t>Liebegg:</t>
        </r>
        <r>
          <rPr>
            <sz val="8"/>
            <color indexed="81"/>
            <rFont val="Tahoma"/>
            <family val="2"/>
          </rPr>
          <t xml:space="preserve">
Druckmanometer</t>
        </r>
      </text>
    </comment>
    <comment ref="F81" authorId="0" shapeId="0" xr:uid="{00000000-0006-0000-0200-00000F000000}">
      <text>
        <r>
          <rPr>
            <b/>
            <sz val="8"/>
            <color indexed="81"/>
            <rFont val="Tahoma"/>
            <family val="2"/>
          </rPr>
          <t>Liebegg:</t>
        </r>
        <r>
          <rPr>
            <sz val="8"/>
            <color indexed="81"/>
            <rFont val="Tahoma"/>
            <family val="2"/>
          </rPr>
          <t xml:space="preserve">
Dosatron D8R</t>
        </r>
      </text>
    </comment>
    <comment ref="A112" authorId="0" shapeId="0" xr:uid="{00000000-0006-0000-0200-000010000000}">
      <text>
        <r>
          <rPr>
            <b/>
            <sz val="8"/>
            <color indexed="81"/>
            <rFont val="Tahoma"/>
            <family val="2"/>
          </rPr>
          <t>Liebegg:</t>
        </r>
        <r>
          <rPr>
            <sz val="8"/>
            <color indexed="81"/>
            <rFont val="Tahoma"/>
            <family val="2"/>
          </rPr>
          <t xml:space="preserve">
Für Hauptlietung PE 63mm PN 12.5 bzw. PE ND 8 63 mm à 6.--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P. Mouron</author>
    <author>FAW</author>
  </authors>
  <commentList>
    <comment ref="C45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P. Mouron:</t>
        </r>
        <r>
          <rPr>
            <sz val="8"/>
            <color indexed="81"/>
            <rFont val="Tahoma"/>
            <family val="2"/>
          </rPr>
          <t xml:space="preserve">
Faustregel: 10 % der Arbeit</t>
        </r>
      </text>
    </comment>
    <comment ref="B53" authorId="1" shapeId="0" xr:uid="{00000000-0006-0000-0300-000002000000}">
      <text>
        <r>
          <rPr>
            <sz val="9"/>
            <color indexed="81"/>
            <rFont val="Tahoma"/>
            <family val="2"/>
          </rPr>
          <t>200cm Länge, 7x7 cm Dimension; nur oben gefasst</t>
        </r>
      </text>
    </comment>
    <comment ref="B54" authorId="1" shapeId="0" xr:uid="{00000000-0006-0000-0300-000003000000}">
      <text>
        <r>
          <rPr>
            <sz val="9"/>
            <color indexed="81"/>
            <rFont val="Tahoma"/>
            <family val="2"/>
          </rPr>
          <t>225 cm lang; 8x8cm Dimension, nur oben gefasst</t>
        </r>
      </text>
    </comment>
    <comment ref="B55" authorId="1" shapeId="0" xr:uid="{00000000-0006-0000-0300-000004000000}">
      <text>
        <r>
          <rPr>
            <sz val="9"/>
            <color indexed="81"/>
            <rFont val="Tahoma"/>
            <family val="2"/>
          </rPr>
          <t>225 cm lang; 8x10cm Dimension, nur oben gefasst; für die Befestigung der Tore gebraucht</t>
        </r>
      </text>
    </comment>
    <comment ref="B57" authorId="1" shapeId="0" xr:uid="{00000000-0006-0000-0300-000005000000}">
      <text>
        <r>
          <rPr>
            <sz val="9"/>
            <color indexed="81"/>
            <rFont val="Tahoma"/>
            <family val="2"/>
          </rPr>
          <t>Eisendraht stark verzinkt, 3mm Durchmesser, ca 18m per kg</t>
        </r>
      </text>
    </comment>
    <comment ref="E142" authorId="1" shapeId="0" xr:uid="{00000000-0006-0000-0300-000006000000}">
      <text>
        <r>
          <rPr>
            <b/>
            <sz val="8"/>
            <color indexed="81"/>
            <rFont val="Tahoma"/>
            <family val="2"/>
          </rPr>
          <t>ACW:</t>
        </r>
        <r>
          <rPr>
            <sz val="8"/>
            <color indexed="81"/>
            <rFont val="Tahoma"/>
            <family val="2"/>
          </rPr>
          <t xml:space="preserve">
Quelle Anbauempfehlung für die Obstregion Nordwestschweiz, mit nur 21 Reihen</t>
        </r>
      </text>
    </comment>
    <comment ref="D149" authorId="1" shapeId="0" xr:uid="{00000000-0006-0000-0300-000007000000}">
      <text>
        <r>
          <rPr>
            <b/>
            <sz val="8"/>
            <color indexed="81"/>
            <rFont val="Tahoma"/>
            <family val="2"/>
          </rPr>
          <t>ACW:</t>
        </r>
        <r>
          <rPr>
            <sz val="8"/>
            <color indexed="81"/>
            <rFont val="Tahoma"/>
            <family val="2"/>
          </rPr>
          <t xml:space="preserve">
Hagelnetz ja/nein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FAW</author>
    <author>P. Mouron</author>
    <author>zue</author>
  </authors>
  <commentList>
    <comment ref="F6" authorId="0" shapeId="0" xr:uid="{00000000-0006-0000-0400-000001000000}">
      <text>
        <r>
          <rPr>
            <sz val="9"/>
            <color indexed="81"/>
            <rFont val="Tahoma"/>
            <family val="2"/>
          </rPr>
          <t>Diese Seite ist schreibgeschützt. Der Schutz kann aufgehoben werden mit dem Kennwort "Arbokost"</t>
        </r>
      </text>
    </comment>
    <comment ref="C16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FAW:</t>
        </r>
        <r>
          <rPr>
            <sz val="8"/>
            <color indexed="81"/>
            <rFont val="Tahoma"/>
            <family val="2"/>
          </rPr>
          <t xml:space="preserve">
P. Mouron:
keine düngung verrechnet, weil Dünger von erstellung teilweise während dem  1. Standjahr verabreicht wird.</t>
        </r>
      </text>
    </comment>
    <comment ref="E38" authorId="1" shapeId="0" xr:uid="{00000000-0006-0000-0400-000003000000}">
      <text>
        <r>
          <rPr>
            <b/>
            <sz val="8"/>
            <color indexed="81"/>
            <rFont val="Tahoma"/>
            <family val="2"/>
          </rPr>
          <t>P. Mouron:</t>
        </r>
        <r>
          <rPr>
            <sz val="8"/>
            <color indexed="81"/>
            <rFont val="Tahoma"/>
            <family val="2"/>
          </rPr>
          <t xml:space="preserve">
FAT-Ansätze für Miete minus 10 %</t>
        </r>
      </text>
    </comment>
    <comment ref="D46" authorId="1" shapeId="0" xr:uid="{00000000-0006-0000-0400-000004000000}">
      <text>
        <r>
          <rPr>
            <sz val="10"/>
            <color indexed="81"/>
            <rFont val="Tahoma"/>
            <family val="2"/>
          </rPr>
          <t>Berechnung der Zugkraftstunden für Ernte:
Anzahl Fuder mal Erntezeit pro Fuder mal Auslastung der Zugkraft bei Ernte (0.25).</t>
        </r>
      </text>
    </comment>
    <comment ref="K46" authorId="1" shapeId="0" xr:uid="{00000000-0006-0000-0400-000005000000}">
      <text>
        <r>
          <rPr>
            <sz val="10"/>
            <color indexed="81"/>
            <rFont val="Tahoma"/>
            <family val="2"/>
          </rPr>
          <t>Berechnung der Zugkraftstunden für Ernte:
Anzahl Fuder mal Erntezeit pro Fuder mal Auslastung der Zugkraft bei Ernte (0.25).</t>
        </r>
      </text>
    </comment>
    <comment ref="R46" authorId="1" shapeId="0" xr:uid="{00000000-0006-0000-0400-000006000000}">
      <text>
        <r>
          <rPr>
            <sz val="10"/>
            <color indexed="81"/>
            <rFont val="Tahoma"/>
            <family val="2"/>
          </rPr>
          <t>Berechnung der Zugkraftstunden für Ernte:
Anzahl Fuder mal Erntezeit pro Fuder mal Auslastung der Zugkraft bei Ernte (0.25).</t>
        </r>
      </text>
    </comment>
    <comment ref="Y46" authorId="1" shapeId="0" xr:uid="{00000000-0006-0000-0400-000007000000}">
      <text>
        <r>
          <rPr>
            <sz val="10"/>
            <color indexed="81"/>
            <rFont val="Tahoma"/>
            <family val="2"/>
          </rPr>
          <t>Berechnung der Zugkraftstunden für Ernte:
Anzahl Fuder mal Erntezeit pro Fuder mal Auslastung der Zugkraft bei Ernte (0.25).</t>
        </r>
      </text>
    </comment>
    <comment ref="AF46" authorId="1" shapeId="0" xr:uid="{00000000-0006-0000-0400-000008000000}">
      <text>
        <r>
          <rPr>
            <sz val="10"/>
            <color indexed="81"/>
            <rFont val="Tahoma"/>
            <family val="2"/>
          </rPr>
          <t>Berechnung der Zugkraftstunden für Ernte:
Anzahl Fuder mal Erntezeit pro Fuder mal Auslastung der Zugkraft bei Ernte (0.25).</t>
        </r>
      </text>
    </comment>
    <comment ref="AM46" authorId="1" shapeId="0" xr:uid="{00000000-0006-0000-0400-000009000000}">
      <text>
        <r>
          <rPr>
            <sz val="10"/>
            <color indexed="81"/>
            <rFont val="Tahoma"/>
            <family val="2"/>
          </rPr>
          <t>Berechnung der Zugkraftstunden für Ernte:
Anzahl Fuder mal Erntezeit pro Fuder mal Auslastung der Zugkraft bei Ernte (0.25).</t>
        </r>
      </text>
    </comment>
    <comment ref="AT46" authorId="1" shapeId="0" xr:uid="{00000000-0006-0000-0400-00000A000000}">
      <text>
        <r>
          <rPr>
            <sz val="10"/>
            <color indexed="81"/>
            <rFont val="Tahoma"/>
            <family val="2"/>
          </rPr>
          <t>Berechnung der Zugkraftstunden für Ernte:
Anzahl Fuder mal Erntezeit pro Fuder mal Auslastung der Zugkraft bei Ernte (0.25).</t>
        </r>
      </text>
    </comment>
    <comment ref="BA46" authorId="1" shapeId="0" xr:uid="{00000000-0006-0000-0400-00000B000000}">
      <text>
        <r>
          <rPr>
            <sz val="10"/>
            <color indexed="81"/>
            <rFont val="Tahoma"/>
            <family val="2"/>
          </rPr>
          <t>Berechnung der Zugkraftstunden für Ernte:
Anzahl Fuder mal Erntezeit pro Fuder mal Auslastung der Zugkraft bei Ernte (0.25).</t>
        </r>
      </text>
    </comment>
    <comment ref="BH46" authorId="1" shapeId="0" xr:uid="{00000000-0006-0000-0400-00000C000000}">
      <text>
        <r>
          <rPr>
            <sz val="10"/>
            <color indexed="81"/>
            <rFont val="Tahoma"/>
            <family val="2"/>
          </rPr>
          <t>Berechnung der Zugkraftstunden für Ernte:
Anzahl Fuder mal Erntezeit pro Fuder mal Auslastung der Zugkraft bei Ernte (0.25).</t>
        </r>
      </text>
    </comment>
    <comment ref="BO46" authorId="1" shapeId="0" xr:uid="{00000000-0006-0000-0400-00000D000000}">
      <text>
        <r>
          <rPr>
            <sz val="10"/>
            <color indexed="81"/>
            <rFont val="Tahoma"/>
            <family val="2"/>
          </rPr>
          <t>Berechnung der Zugkraftstunden für Ernte:
Anzahl Fuder mal Erntezeit pro Fuder mal Auslastung der Zugkraft bei Ernte (0.25).</t>
        </r>
      </text>
    </comment>
    <comment ref="BV46" authorId="1" shapeId="0" xr:uid="{00000000-0006-0000-0400-00000E000000}">
      <text>
        <r>
          <rPr>
            <sz val="10"/>
            <color indexed="81"/>
            <rFont val="Tahoma"/>
            <family val="2"/>
          </rPr>
          <t>Berechnung der Zugkraftstunden für Ernte:
Anzahl Fuder mal Erntezeit pro Fuder mal Auslastung der Zugkraft bei Ernte (0.25).</t>
        </r>
      </text>
    </comment>
    <comment ref="CC46" authorId="1" shapeId="0" xr:uid="{00000000-0006-0000-0400-00000F000000}">
      <text>
        <r>
          <rPr>
            <sz val="10"/>
            <color indexed="81"/>
            <rFont val="Tahoma"/>
            <family val="2"/>
          </rPr>
          <t>Berechnung der Zugkraftstunden für Ernte:
Anzahl Fuder mal Erntezeit pro Fuder mal Auslastung der Zugkraft bei Ernte (0.25).</t>
        </r>
      </text>
    </comment>
    <comment ref="CJ46" authorId="1" shapeId="0" xr:uid="{00000000-0006-0000-0400-000010000000}">
      <text>
        <r>
          <rPr>
            <sz val="10"/>
            <color indexed="81"/>
            <rFont val="Tahoma"/>
            <family val="2"/>
          </rPr>
          <t>Berechnung der Zugkraftstunden für Ernte:
Anzahl Fuder mal Erntezeit pro Fuder mal Auslastung der Zugkraft bei Ernte (0.25).</t>
        </r>
      </text>
    </comment>
    <comment ref="CQ46" authorId="1" shapeId="0" xr:uid="{00000000-0006-0000-0400-000011000000}">
      <text>
        <r>
          <rPr>
            <sz val="10"/>
            <color indexed="81"/>
            <rFont val="Tahoma"/>
            <family val="2"/>
          </rPr>
          <t>Berechnung der Zugkraftstunden für Ernte:
Anzahl Fuder mal Erntezeit pro Fuder mal Auslastung der Zugkraft bei Ernte (0.25).</t>
        </r>
      </text>
    </comment>
    <comment ref="CX46" authorId="1" shapeId="0" xr:uid="{00000000-0006-0000-0400-000012000000}">
      <text>
        <r>
          <rPr>
            <sz val="10"/>
            <color indexed="81"/>
            <rFont val="Tahoma"/>
            <family val="2"/>
          </rPr>
          <t>Berechnung der Zugkraftstunden für Ernte:
Anzahl Fuder mal Erntezeit pro Fuder mal Auslastung der Zugkraft bei Ernte (0.25).</t>
        </r>
      </text>
    </comment>
    <comment ref="DE46" authorId="1" shapeId="0" xr:uid="{00000000-0006-0000-0400-000013000000}">
      <text>
        <r>
          <rPr>
            <sz val="10"/>
            <color indexed="81"/>
            <rFont val="Tahoma"/>
            <family val="2"/>
          </rPr>
          <t>Berechnung der Zugkraftstunden für Ernte:
Anzahl Fuder mal Erntezeit pro Fuder mal Auslastung der Zugkraft bei Ernte (0.25).</t>
        </r>
      </text>
    </comment>
    <comment ref="DL46" authorId="1" shapeId="0" xr:uid="{00000000-0006-0000-0400-000014000000}">
      <text>
        <r>
          <rPr>
            <sz val="10"/>
            <color indexed="81"/>
            <rFont val="Tahoma"/>
            <family val="2"/>
          </rPr>
          <t>Berechnung der Zugkraftstunden für Ernte:
Anzahl Fuder mal Erntezeit pro Fuder mal Auslastung der Zugkraft bei Ernte (0.25).</t>
        </r>
      </text>
    </comment>
    <comment ref="DS46" authorId="1" shapeId="0" xr:uid="{00000000-0006-0000-0400-000015000000}">
      <text>
        <r>
          <rPr>
            <sz val="10"/>
            <color indexed="81"/>
            <rFont val="Tahoma"/>
            <family val="2"/>
          </rPr>
          <t>Berechnung der Zugkraftstunden für Ernte:
Anzahl Fuder mal Erntezeit pro Fuder mal Auslastung der Zugkraft bei Ernte (0.25).</t>
        </r>
      </text>
    </comment>
    <comment ref="DZ46" authorId="1" shapeId="0" xr:uid="{00000000-0006-0000-0400-000016000000}">
      <text>
        <r>
          <rPr>
            <sz val="10"/>
            <color indexed="81"/>
            <rFont val="Tahoma"/>
            <family val="2"/>
          </rPr>
          <t>Berechnung der Zugkraftstunden für Ernte:
Anzahl Fuder mal Erntezeit pro Fuder mal Auslastung der Zugkraft bei Ernte (0.25).</t>
        </r>
      </text>
    </comment>
    <comment ref="EG46" authorId="1" shapeId="0" xr:uid="{00000000-0006-0000-0400-000017000000}">
      <text>
        <r>
          <rPr>
            <sz val="10"/>
            <color indexed="81"/>
            <rFont val="Tahoma"/>
            <family val="2"/>
          </rPr>
          <t>Berechnung der Zugkraftstunden für Ernte:
Anzahl Fuder mal Erntezeit pro Fuder mal Auslastung der Zugkraft bei Ernte (0.25).</t>
        </r>
      </text>
    </comment>
    <comment ref="B57" authorId="2" shapeId="0" xr:uid="{00000000-0006-0000-0400-000018000000}">
      <text>
        <r>
          <rPr>
            <b/>
            <sz val="10"/>
            <color indexed="81"/>
            <rFont val="Tahoma"/>
            <family val="2"/>
          </rPr>
          <t>zue:</t>
        </r>
        <r>
          <rPr>
            <sz val="10"/>
            <color indexed="81"/>
            <rFont val="Tahoma"/>
            <family val="2"/>
          </rPr>
          <t xml:space="preserve">
es wird davon ausgegangen, dass auch im 1.Jahr die Netze geöffnet und geschlossen werden</t>
        </r>
      </text>
    </comment>
    <comment ref="I57" authorId="2" shapeId="0" xr:uid="{00000000-0006-0000-0400-000019000000}">
      <text>
        <r>
          <rPr>
            <b/>
            <sz val="10"/>
            <color indexed="81"/>
            <rFont val="Tahoma"/>
            <family val="2"/>
          </rPr>
          <t>zue:</t>
        </r>
        <r>
          <rPr>
            <sz val="10"/>
            <color indexed="81"/>
            <rFont val="Tahoma"/>
            <family val="2"/>
          </rPr>
          <t xml:space="preserve">
es wird davon ausgegangen, dass auch im 1.Jahr die Netze geöffnet und geschlossen werden</t>
        </r>
      </text>
    </comment>
    <comment ref="P57" authorId="2" shapeId="0" xr:uid="{00000000-0006-0000-0400-00001A000000}">
      <text>
        <r>
          <rPr>
            <b/>
            <sz val="10"/>
            <color indexed="81"/>
            <rFont val="Tahoma"/>
            <family val="2"/>
          </rPr>
          <t>zue:</t>
        </r>
        <r>
          <rPr>
            <sz val="10"/>
            <color indexed="81"/>
            <rFont val="Tahoma"/>
            <family val="2"/>
          </rPr>
          <t xml:space="preserve">
es wird davon ausgegangen, dass auch im 1.Jahr die Netze geöffnet und geschlossen werden</t>
        </r>
      </text>
    </comment>
    <comment ref="W57" authorId="2" shapeId="0" xr:uid="{00000000-0006-0000-0400-00001B000000}">
      <text>
        <r>
          <rPr>
            <b/>
            <sz val="10"/>
            <color indexed="81"/>
            <rFont val="Tahoma"/>
            <family val="2"/>
          </rPr>
          <t>zue:</t>
        </r>
        <r>
          <rPr>
            <sz val="10"/>
            <color indexed="81"/>
            <rFont val="Tahoma"/>
            <family val="2"/>
          </rPr>
          <t xml:space="preserve">
es wird davon ausgegangen, dass auch im 1.Jahr die Netze geöffnet und geschlossen werden</t>
        </r>
      </text>
    </comment>
    <comment ref="AD57" authorId="2" shapeId="0" xr:uid="{00000000-0006-0000-0400-00001C000000}">
      <text>
        <r>
          <rPr>
            <b/>
            <sz val="10"/>
            <color indexed="81"/>
            <rFont val="Tahoma"/>
            <family val="2"/>
          </rPr>
          <t>zue:</t>
        </r>
        <r>
          <rPr>
            <sz val="10"/>
            <color indexed="81"/>
            <rFont val="Tahoma"/>
            <family val="2"/>
          </rPr>
          <t xml:space="preserve">
es wird davon ausgegangen, dass auch im 1.Jahr die Netze geöffnet und geschlossen werden</t>
        </r>
      </text>
    </comment>
    <comment ref="AK57" authorId="2" shapeId="0" xr:uid="{00000000-0006-0000-0400-00001D000000}">
      <text>
        <r>
          <rPr>
            <b/>
            <sz val="10"/>
            <color indexed="81"/>
            <rFont val="Tahoma"/>
            <family val="2"/>
          </rPr>
          <t>zue:</t>
        </r>
        <r>
          <rPr>
            <sz val="10"/>
            <color indexed="81"/>
            <rFont val="Tahoma"/>
            <family val="2"/>
          </rPr>
          <t xml:space="preserve">
es wird davon ausgegangen, dass auch im 1.Jahr die Netze geöffnet und geschlossen werden</t>
        </r>
      </text>
    </comment>
    <comment ref="AR57" authorId="2" shapeId="0" xr:uid="{00000000-0006-0000-0400-00001E000000}">
      <text>
        <r>
          <rPr>
            <b/>
            <sz val="10"/>
            <color indexed="81"/>
            <rFont val="Tahoma"/>
            <family val="2"/>
          </rPr>
          <t>zue:</t>
        </r>
        <r>
          <rPr>
            <sz val="10"/>
            <color indexed="81"/>
            <rFont val="Tahoma"/>
            <family val="2"/>
          </rPr>
          <t xml:space="preserve">
es wird davon ausgegangen, dass auch im 1.Jahr die Netze geöffnet und geschlossen werden</t>
        </r>
      </text>
    </comment>
    <comment ref="AY57" authorId="2" shapeId="0" xr:uid="{00000000-0006-0000-0400-00001F000000}">
      <text>
        <r>
          <rPr>
            <b/>
            <sz val="10"/>
            <color indexed="81"/>
            <rFont val="Tahoma"/>
            <family val="2"/>
          </rPr>
          <t>zue:</t>
        </r>
        <r>
          <rPr>
            <sz val="10"/>
            <color indexed="81"/>
            <rFont val="Tahoma"/>
            <family val="2"/>
          </rPr>
          <t xml:space="preserve">
es wird davon ausgegangen, dass auch im 1.Jahr die Netze geöffnet und geschlossen werden</t>
        </r>
      </text>
    </comment>
    <comment ref="BF57" authorId="2" shapeId="0" xr:uid="{00000000-0006-0000-0400-000020000000}">
      <text>
        <r>
          <rPr>
            <b/>
            <sz val="10"/>
            <color indexed="81"/>
            <rFont val="Tahoma"/>
            <family val="2"/>
          </rPr>
          <t>zue:</t>
        </r>
        <r>
          <rPr>
            <sz val="10"/>
            <color indexed="81"/>
            <rFont val="Tahoma"/>
            <family val="2"/>
          </rPr>
          <t xml:space="preserve">
es wird davon ausgegangen, dass auch im 1.Jahr die Netze geöffnet und geschlossen werden</t>
        </r>
      </text>
    </comment>
    <comment ref="BM57" authorId="2" shapeId="0" xr:uid="{00000000-0006-0000-0400-000021000000}">
      <text>
        <r>
          <rPr>
            <b/>
            <sz val="10"/>
            <color indexed="81"/>
            <rFont val="Tahoma"/>
            <family val="2"/>
          </rPr>
          <t>zue:</t>
        </r>
        <r>
          <rPr>
            <sz val="10"/>
            <color indexed="81"/>
            <rFont val="Tahoma"/>
            <family val="2"/>
          </rPr>
          <t xml:space="preserve">
es wird davon ausgegangen, dass auch im 1.Jahr die Netze geöffnet und geschlossen werden</t>
        </r>
      </text>
    </comment>
    <comment ref="BT57" authorId="2" shapeId="0" xr:uid="{00000000-0006-0000-0400-000022000000}">
      <text>
        <r>
          <rPr>
            <b/>
            <sz val="10"/>
            <color indexed="81"/>
            <rFont val="Tahoma"/>
            <family val="2"/>
          </rPr>
          <t>zue:</t>
        </r>
        <r>
          <rPr>
            <sz val="10"/>
            <color indexed="81"/>
            <rFont val="Tahoma"/>
            <family val="2"/>
          </rPr>
          <t xml:space="preserve">
es wird davon ausgegangen, dass auch im 1.Jahr die Netze geöffnet und geschlossen werden</t>
        </r>
      </text>
    </comment>
    <comment ref="CA57" authorId="2" shapeId="0" xr:uid="{00000000-0006-0000-0400-000023000000}">
      <text>
        <r>
          <rPr>
            <b/>
            <sz val="10"/>
            <color indexed="81"/>
            <rFont val="Tahoma"/>
            <family val="2"/>
          </rPr>
          <t>zue:</t>
        </r>
        <r>
          <rPr>
            <sz val="10"/>
            <color indexed="81"/>
            <rFont val="Tahoma"/>
            <family val="2"/>
          </rPr>
          <t xml:space="preserve">
es wird davon ausgegangen, dass auch im 1.Jahr die Netze geöffnet und geschlossen werden</t>
        </r>
      </text>
    </comment>
    <comment ref="CH57" authorId="2" shapeId="0" xr:uid="{00000000-0006-0000-0400-000024000000}">
      <text>
        <r>
          <rPr>
            <b/>
            <sz val="10"/>
            <color indexed="81"/>
            <rFont val="Tahoma"/>
            <family val="2"/>
          </rPr>
          <t>zue:</t>
        </r>
        <r>
          <rPr>
            <sz val="10"/>
            <color indexed="81"/>
            <rFont val="Tahoma"/>
            <family val="2"/>
          </rPr>
          <t xml:space="preserve">
es wird davon ausgegangen, dass auch im 1.Jahr die Netze geöffnet und geschlossen werden</t>
        </r>
      </text>
    </comment>
    <comment ref="CO57" authorId="2" shapeId="0" xr:uid="{00000000-0006-0000-0400-000025000000}">
      <text>
        <r>
          <rPr>
            <b/>
            <sz val="10"/>
            <color indexed="81"/>
            <rFont val="Tahoma"/>
            <family val="2"/>
          </rPr>
          <t>zue:</t>
        </r>
        <r>
          <rPr>
            <sz val="10"/>
            <color indexed="81"/>
            <rFont val="Tahoma"/>
            <family val="2"/>
          </rPr>
          <t xml:space="preserve">
es wird davon ausgegangen, dass auch im 1.Jahr die Netze geöffnet und geschlossen werden</t>
        </r>
      </text>
    </comment>
    <comment ref="CV57" authorId="2" shapeId="0" xr:uid="{00000000-0006-0000-0400-000026000000}">
      <text>
        <r>
          <rPr>
            <b/>
            <sz val="10"/>
            <color indexed="81"/>
            <rFont val="Tahoma"/>
            <family val="2"/>
          </rPr>
          <t>zue:</t>
        </r>
        <r>
          <rPr>
            <sz val="10"/>
            <color indexed="81"/>
            <rFont val="Tahoma"/>
            <family val="2"/>
          </rPr>
          <t xml:space="preserve">
es wird davon ausgegangen, dass auch im 1.Jahr die Netze geöffnet und geschlossen werden</t>
        </r>
      </text>
    </comment>
    <comment ref="DC57" authorId="2" shapeId="0" xr:uid="{00000000-0006-0000-0400-000027000000}">
      <text>
        <r>
          <rPr>
            <b/>
            <sz val="10"/>
            <color indexed="81"/>
            <rFont val="Tahoma"/>
            <family val="2"/>
          </rPr>
          <t>zue:</t>
        </r>
        <r>
          <rPr>
            <sz val="10"/>
            <color indexed="81"/>
            <rFont val="Tahoma"/>
            <family val="2"/>
          </rPr>
          <t xml:space="preserve">
es wird davon ausgegangen, dass auch im 1.Jahr die Netze geöffnet und geschlossen werden</t>
        </r>
      </text>
    </comment>
    <comment ref="DJ57" authorId="2" shapeId="0" xr:uid="{00000000-0006-0000-0400-000028000000}">
      <text>
        <r>
          <rPr>
            <b/>
            <sz val="10"/>
            <color indexed="81"/>
            <rFont val="Tahoma"/>
            <family val="2"/>
          </rPr>
          <t>zue:</t>
        </r>
        <r>
          <rPr>
            <sz val="10"/>
            <color indexed="81"/>
            <rFont val="Tahoma"/>
            <family val="2"/>
          </rPr>
          <t xml:space="preserve">
es wird davon ausgegangen, dass auch im 1.Jahr die Netze geöffnet und geschlossen werden</t>
        </r>
      </text>
    </comment>
    <comment ref="DQ57" authorId="2" shapeId="0" xr:uid="{00000000-0006-0000-0400-000029000000}">
      <text>
        <r>
          <rPr>
            <b/>
            <sz val="10"/>
            <color indexed="81"/>
            <rFont val="Tahoma"/>
            <family val="2"/>
          </rPr>
          <t>zue:</t>
        </r>
        <r>
          <rPr>
            <sz val="10"/>
            <color indexed="81"/>
            <rFont val="Tahoma"/>
            <family val="2"/>
          </rPr>
          <t xml:space="preserve">
es wird davon ausgegangen, dass auch im 1.Jahr die Netze geöffnet und geschlossen werden</t>
        </r>
      </text>
    </comment>
    <comment ref="DX57" authorId="2" shapeId="0" xr:uid="{00000000-0006-0000-0400-00002A000000}">
      <text>
        <r>
          <rPr>
            <b/>
            <sz val="10"/>
            <color indexed="81"/>
            <rFont val="Tahoma"/>
            <family val="2"/>
          </rPr>
          <t>zue:</t>
        </r>
        <r>
          <rPr>
            <sz val="10"/>
            <color indexed="81"/>
            <rFont val="Tahoma"/>
            <family val="2"/>
          </rPr>
          <t xml:space="preserve">
es wird davon ausgegangen, dass auch im 1.Jahr die Netze geöffnet und geschlossen werden</t>
        </r>
      </text>
    </comment>
    <comment ref="EE57" authorId="2" shapeId="0" xr:uid="{00000000-0006-0000-0400-00002B000000}">
      <text>
        <r>
          <rPr>
            <b/>
            <sz val="10"/>
            <color indexed="81"/>
            <rFont val="Tahoma"/>
            <family val="2"/>
          </rPr>
          <t>zue:</t>
        </r>
        <r>
          <rPr>
            <sz val="10"/>
            <color indexed="81"/>
            <rFont val="Tahoma"/>
            <family val="2"/>
          </rPr>
          <t xml:space="preserve">
es wird davon ausgegangen, dass auch im 1.Jahr die Netze geöffnet und geschlossen werden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P. Mouron</author>
    <author>zue</author>
  </authors>
  <commentList>
    <comment ref="E7" authorId="0" shapeId="0" xr:uid="{00000000-0006-0000-0500-000001000000}">
      <text>
        <r>
          <rPr>
            <sz val="10"/>
            <color indexed="81"/>
            <rFont val="Tahoma"/>
            <family val="2"/>
          </rPr>
          <t>Kosten für Gebindebenutzung und Transport (vom Betrieb zur Genossenschaft) sind hier pauschal bereits abgezogen.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1" authorId="0" shapeId="0" xr:uid="{00000000-0006-0000-0500-000002000000}">
      <text>
        <r>
          <rPr>
            <b/>
            <sz val="8"/>
            <color indexed="81"/>
            <rFont val="Tahoma"/>
            <family val="2"/>
          </rPr>
          <t>P. Mouron:</t>
        </r>
        <r>
          <rPr>
            <sz val="8"/>
            <color indexed="81"/>
            <rFont val="Tahoma"/>
            <family val="2"/>
          </rPr>
          <t xml:space="preserve">
durchschnittlich während Ertragsphase, Schäden durch Frost inkl.
Hingegen Hagelschaden nicht berücksichtigt, da Hagelversicherung.</t>
        </r>
      </text>
    </comment>
    <comment ref="E37" authorId="0" shapeId="0" xr:uid="{00000000-0006-0000-0500-000003000000}">
      <text>
        <r>
          <rPr>
            <b/>
            <sz val="8"/>
            <color indexed="81"/>
            <rFont val="Tahoma"/>
            <family val="2"/>
          </rPr>
          <t>P. Mouron:</t>
        </r>
        <r>
          <rPr>
            <sz val="8"/>
            <color indexed="81"/>
            <rFont val="Tahoma"/>
            <family val="2"/>
          </rPr>
          <t xml:space="preserve">
Fr./Durchgang = Fr./ha weil Arbokost die Kosten für 1 ha ausweist
FAT-Ansätze für fixe+variable Kosten</t>
        </r>
      </text>
    </comment>
    <comment ref="C41" authorId="0" shapeId="0" xr:uid="{00000000-0006-0000-0500-000004000000}">
      <text>
        <r>
          <rPr>
            <b/>
            <sz val="10"/>
            <color indexed="81"/>
            <rFont val="Tahoma"/>
            <family val="2"/>
          </rPr>
          <t>Berechnung der kg pro Fuder:</t>
        </r>
        <r>
          <rPr>
            <sz val="10"/>
            <color indexed="81"/>
            <rFont val="Tahoma"/>
            <family val="2"/>
          </rPr>
          <t xml:space="preserve">
Erntewagen für 4 Grosskisten (Zug):
4 Grosskosten à 300 kg = 1200 kg bei angenommer Auslastung 
von 80 % = 0.8*1200 = </t>
        </r>
        <r>
          <rPr>
            <b/>
            <sz val="10"/>
            <color indexed="81"/>
            <rFont val="Tahoma"/>
            <family val="2"/>
          </rPr>
          <t>960 kg pro Fuder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D45" authorId="0" shapeId="0" xr:uid="{00000000-0006-0000-0500-000005000000}">
      <text>
        <r>
          <rPr>
            <sz val="10"/>
            <color indexed="81"/>
            <rFont val="Tahoma"/>
            <family val="2"/>
          </rPr>
          <t>Berechnung der Zugkraftstunden für Ernte:
Anzahl Fuder mal Erntezeit pro Fuder mal Auslastung der Zugkraft bei Ernte (0.25).</t>
        </r>
      </text>
    </comment>
    <comment ref="B56" authorId="1" shapeId="0" xr:uid="{00000000-0006-0000-0500-000006000000}">
      <text>
        <r>
          <rPr>
            <b/>
            <sz val="10"/>
            <color indexed="81"/>
            <rFont val="Tahoma"/>
            <family val="2"/>
          </rPr>
          <t>zue:</t>
        </r>
        <r>
          <rPr>
            <sz val="10"/>
            <color indexed="81"/>
            <rFont val="Tahoma"/>
            <family val="2"/>
          </rPr>
          <t xml:space="preserve">
es wird davon ausgegangen, dass auch im 1.Jahr die Netze geöffnet und geschlossen werden</t>
        </r>
      </text>
    </comment>
    <comment ref="A75" authorId="0" shapeId="0" xr:uid="{00000000-0006-0000-0500-000007000000}">
      <text>
        <r>
          <rPr>
            <b/>
            <sz val="8"/>
            <color indexed="81"/>
            <rFont val="Tahoma"/>
            <family val="2"/>
          </rPr>
          <t>P. Mouron: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Wenn dieser Betrag mit dem Gesamterlös im Durchschnitt nicht gedeckt werden kann, sollte die Parzelle gerodet werden.
Mit dem Betriebsminimum werden die variablen Kosten gedeckt. Nicht gedeckt sind: Abschreibung Obstanlage, Abschreibung Maschinen und Zinsanspruch</t>
        </r>
      </text>
    </comment>
    <comment ref="A87" authorId="0" shapeId="0" xr:uid="{00000000-0006-0000-0500-000008000000}">
      <text>
        <r>
          <rPr>
            <b/>
            <sz val="8"/>
            <color indexed="81"/>
            <rFont val="Tahoma"/>
            <family val="2"/>
          </rPr>
          <t>P. Mouron: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siehe: Betriebswirtschaftliche Begriffe im Agrarbereich, LMZ 2000, S.112</t>
        </r>
      </text>
    </comment>
    <comment ref="A89" authorId="0" shapeId="0" xr:uid="{00000000-0006-0000-0500-000009000000}">
      <text>
        <r>
          <rPr>
            <b/>
            <sz val="8"/>
            <color indexed="81"/>
            <rFont val="Tahoma"/>
            <family val="2"/>
          </rPr>
          <t>P. Mouron: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Summe aus Zinsanspruch für das Eigenkapital und bezahlten Schuld- und Pachtzinsen ((Betriebswirtschaftliche Begriffe im Agrarbereich, LMZ 2000, S.110)
Hier: Zins für Investitionen und Boden.</t>
        </r>
      </text>
    </comment>
    <comment ref="A90" authorId="0" shapeId="0" xr:uid="{00000000-0006-0000-0500-00000A000000}">
      <text>
        <r>
          <rPr>
            <b/>
            <sz val="8"/>
            <color indexed="81"/>
            <rFont val="Tahoma"/>
            <family val="2"/>
          </rPr>
          <t>P</t>
        </r>
        <r>
          <rPr>
            <b/>
            <sz val="10"/>
            <color indexed="81"/>
            <rFont val="Tahoma"/>
            <family val="2"/>
          </rPr>
          <t>. Mouron:</t>
        </r>
        <r>
          <rPr>
            <sz val="10"/>
            <color indexed="81"/>
            <rFont val="Tahoma"/>
            <family val="2"/>
          </rPr>
          <t xml:space="preserve">
Kosten für die in der Produktion eingesetzten Produktionsmittel </t>
        </r>
        <r>
          <rPr>
            <b/>
            <i/>
            <sz val="10"/>
            <color indexed="81"/>
            <rFont val="Tahoma"/>
            <family val="2"/>
          </rPr>
          <t>einschliesslich der Abschreibungen</t>
        </r>
        <r>
          <rPr>
            <sz val="10"/>
            <color indexed="81"/>
            <rFont val="Tahoma"/>
            <family val="2"/>
          </rPr>
          <t>, aber ohne die Entschädigung für die Produktionsfaktoren Arbeit und Kapital. (Betriebswirtschaftliche Begriffe im Agrarbereich, LMZ 2000, S.149)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P. Mouron</author>
    <author>FAW</author>
    <author>Esther Bravin</author>
  </authors>
  <commentList>
    <comment ref="C23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P. Mouron: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>Traktor mit Normalspur möglich
Quelle: Anbauempf. Obstregion N-W-CH</t>
        </r>
      </text>
    </comment>
    <comment ref="C33" authorId="1" shapeId="0" xr:uid="{00000000-0006-0000-0700-000002000000}">
      <text>
        <r>
          <rPr>
            <sz val="8"/>
            <color indexed="81"/>
            <rFont val="Tahoma"/>
            <family val="2"/>
          </rPr>
          <t>Anbauempfehlungen NO-CH 2007:
Pflanzmaterial im Anbauvertrag ohne Lizenzen</t>
        </r>
      </text>
    </comment>
    <comment ref="C43" authorId="0" shapeId="0" xr:uid="{00000000-0006-0000-0700-000003000000}">
      <text>
        <r>
          <rPr>
            <b/>
            <sz val="8"/>
            <color indexed="81"/>
            <rFont val="Tahoma"/>
            <family val="2"/>
          </rPr>
          <t>P. Mouron: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Nach FAT
genauer Faktor bei 12 Jahren Abschreibungsdauer: 0.542</t>
        </r>
      </text>
    </comment>
    <comment ref="B100" authorId="0" shapeId="0" xr:uid="{00000000-0006-0000-0700-000004000000}">
      <text>
        <r>
          <rPr>
            <b/>
            <sz val="8"/>
            <color indexed="81"/>
            <rFont val="Tahoma"/>
            <family val="2"/>
          </rPr>
          <t>P. Mouron: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ohne Feuerbrandkontrolle</t>
        </r>
      </text>
    </comment>
    <comment ref="B110" authorId="2" shapeId="0" xr:uid="{00000000-0006-0000-0700-000005000000}">
      <text>
        <r>
          <rPr>
            <b/>
            <sz val="9"/>
            <color indexed="81"/>
            <rFont val="Segoe UI"/>
            <family val="2"/>
          </rPr>
          <t>Esther Bravin:</t>
        </r>
        <r>
          <rPr>
            <sz val="9"/>
            <color indexed="81"/>
            <rFont val="Segoe UI"/>
            <family val="2"/>
          </rPr>
          <t xml:space="preserve">
Kalksalpeter (Nitrabor, 15.5%, 95 Fr./100 kg) 
</t>
        </r>
      </text>
    </comment>
    <comment ref="C110" authorId="2" shapeId="0" xr:uid="{00000000-0006-0000-0700-000006000000}">
      <text>
        <r>
          <rPr>
            <b/>
            <sz val="9"/>
            <color indexed="81"/>
            <rFont val="Segoe UI"/>
            <family val="2"/>
          </rPr>
          <t>Esther Bravin:</t>
        </r>
        <r>
          <rPr>
            <sz val="9"/>
            <color indexed="81"/>
            <rFont val="Segoe UI"/>
            <family val="2"/>
          </rPr>
          <t xml:space="preserve">
Bsp: Dolomit</t>
        </r>
      </text>
    </comment>
    <comment ref="B125" authorId="2" shapeId="0" xr:uid="{00000000-0006-0000-0700-000007000000}">
      <text>
        <r>
          <rPr>
            <b/>
            <sz val="9"/>
            <color indexed="81"/>
            <rFont val="Segoe UI"/>
            <family val="2"/>
          </rPr>
          <t>Esther Bravin:</t>
        </r>
        <r>
          <rPr>
            <sz val="9"/>
            <color indexed="81"/>
            <rFont val="Segoe UI"/>
            <family val="2"/>
          </rPr>
          <t xml:space="preserve">
Max 60 kg/ha</t>
        </r>
      </text>
    </comment>
    <comment ref="H146" authorId="0" shapeId="0" xr:uid="{00000000-0006-0000-0700-000008000000}">
      <text>
        <r>
          <rPr>
            <b/>
            <sz val="8"/>
            <color indexed="81"/>
            <rFont val="Tahoma"/>
            <family val="2"/>
          </rPr>
          <t>P. Mouron: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Annahme: Der  Motor läuft   nur  ¼  der Einsatzzeit während der Ernte.</t>
        </r>
      </text>
    </comment>
    <comment ref="D149" authorId="0" shapeId="0" xr:uid="{00000000-0006-0000-0700-000009000000}">
      <text>
        <r>
          <rPr>
            <b/>
            <sz val="8"/>
            <color indexed="81"/>
            <rFont val="Tahoma"/>
            <family val="2"/>
          </rPr>
          <t>P. Mouron: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Fr./Durchgang = Fr./ha , weil Arbokost die Kosten für 1 ha ausweist
FAT-Ansätze für fixe+variable Kosten</t>
        </r>
      </text>
    </comment>
    <comment ref="E153" authorId="0" shapeId="0" xr:uid="{00000000-0006-0000-0700-00000A000000}">
      <text>
        <r>
          <rPr>
            <b/>
            <sz val="8"/>
            <color indexed="81"/>
            <rFont val="Tahoma"/>
            <family val="2"/>
          </rPr>
          <t>P. Mouron: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2 Pers pro Grosskiste</t>
        </r>
      </text>
    </comment>
    <comment ref="C172" authorId="0" shapeId="0" xr:uid="{00000000-0006-0000-0700-00000B000000}">
      <text>
        <r>
          <rPr>
            <b/>
            <sz val="8"/>
            <color indexed="81"/>
            <rFont val="Tahoma"/>
            <family val="2"/>
          </rPr>
          <t>P. Mouron:</t>
        </r>
        <r>
          <rPr>
            <sz val="8"/>
            <color indexed="81"/>
            <rFont val="Tahoma"/>
            <family val="2"/>
          </rPr>
          <t xml:space="preserve">
pro ha für Obstbau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Liebegg</author>
    <author>FAW</author>
  </authors>
  <commentList>
    <comment ref="A5" authorId="0" shapeId="0" xr:uid="{00000000-0006-0000-0800-000001000000}">
      <text>
        <r>
          <rPr>
            <b/>
            <sz val="8"/>
            <color indexed="81"/>
            <rFont val="Tahoma"/>
            <family val="2"/>
          </rPr>
          <t>Liebegg:</t>
        </r>
        <r>
          <rPr>
            <sz val="8"/>
            <color indexed="81"/>
            <rFont val="Tahoma"/>
            <family val="2"/>
          </rPr>
          <t xml:space="preserve">
Kostenstadn 2006/2007
Offerte THURELLA</t>
        </r>
      </text>
    </comment>
    <comment ref="B13" authorId="0" shapeId="0" xr:uid="{00000000-0006-0000-0800-000002000000}">
      <text>
        <r>
          <rPr>
            <b/>
            <sz val="8"/>
            <color indexed="81"/>
            <rFont val="Tahoma"/>
            <family val="2"/>
          </rPr>
          <t>ACW:</t>
        </r>
        <r>
          <rPr>
            <sz val="8"/>
            <color indexed="81"/>
            <rFont val="Tahoma"/>
            <family val="2"/>
          </rPr>
          <t xml:space="preserve">
Anbohrschellen 50mmx3/4 21 Stck. à 4.80, Aufschraubnippel 3/4 x 20 mm 22 Stck. à 1.5, Tropfschlauchenden 22 à 70 Rp. (Quelle Anbauempehlung für die Obstregion NO-CH 2007)
</t>
        </r>
      </text>
    </comment>
    <comment ref="B16" authorId="0" shapeId="0" xr:uid="{00000000-0006-0000-0800-000003000000}">
      <text>
        <r>
          <rPr>
            <b/>
            <sz val="8"/>
            <color indexed="81"/>
            <rFont val="Tahoma"/>
            <family val="2"/>
          </rPr>
          <t>ACW:</t>
        </r>
        <r>
          <rPr>
            <sz val="8"/>
            <color indexed="81"/>
            <rFont val="Tahoma"/>
            <family val="2"/>
          </rPr>
          <t xml:space="preserve">
Tropfschlauch Anschluss an Sektorenleitung 21 x 1 m 20mmà 1.-- (Quelle: Anbauempfehlung für die Obstregion NO-CH 2007)</t>
        </r>
      </text>
    </comment>
    <comment ref="B18" authorId="0" shapeId="0" xr:uid="{00000000-0006-0000-0800-000004000000}">
      <text>
        <r>
          <rPr>
            <b/>
            <sz val="8"/>
            <color indexed="81"/>
            <rFont val="Tahoma"/>
            <family val="2"/>
          </rPr>
          <t>ACW:</t>
        </r>
        <r>
          <rPr>
            <sz val="8"/>
            <color indexed="81"/>
            <rFont val="Tahoma"/>
            <family val="2"/>
          </rPr>
          <t xml:space="preserve">
Sektorenleitung Zuleitung Kultur (Quelle Anbauempfehlung für die Obstregion NO-CH 2007)
Für Hauptlietung PE 63mm PN 12.5 bzw. PE ND 8 63 mm à 6.--</t>
        </r>
      </text>
    </comment>
    <comment ref="B21" authorId="0" shapeId="0" xr:uid="{00000000-0006-0000-0800-000005000000}">
      <text>
        <r>
          <rPr>
            <b/>
            <sz val="8"/>
            <color indexed="81"/>
            <rFont val="Tahoma"/>
            <family val="2"/>
          </rPr>
          <t>ACW:</t>
        </r>
        <r>
          <rPr>
            <sz val="8"/>
            <color indexed="81"/>
            <rFont val="Tahoma"/>
            <family val="2"/>
          </rPr>
          <t xml:space="preserve">
Sektorenleitungsendeverschluss 50mm 1 Stck à 10.80,
plus Anschlusskupplung 2" 50mm pro Sektor 1 (Quelle: Anbauempfehlung für die Obstregion NO-CH 2007)</t>
        </r>
      </text>
    </comment>
    <comment ref="A32" authorId="1" shapeId="0" xr:uid="{00000000-0006-0000-0800-000006000000}">
      <text>
        <r>
          <rPr>
            <b/>
            <sz val="8"/>
            <color indexed="81"/>
            <rFont val="Tahoma"/>
            <family val="2"/>
          </rPr>
          <t>ACW:</t>
        </r>
        <r>
          <rPr>
            <sz val="8"/>
            <color indexed="81"/>
            <rFont val="Tahoma"/>
            <family val="2"/>
          </rPr>
          <t xml:space="preserve">
Inkl. Mehrwertsteuer</t>
        </r>
      </text>
    </comment>
    <comment ref="D64" authorId="0" shapeId="0" xr:uid="{00000000-0006-0000-0800-000007000000}">
      <text>
        <r>
          <rPr>
            <b/>
            <sz val="8"/>
            <color indexed="81"/>
            <rFont val="Tahoma"/>
            <family val="2"/>
          </rPr>
          <t>Liebegg:</t>
        </r>
        <r>
          <rPr>
            <sz val="8"/>
            <color indexed="81"/>
            <rFont val="Tahoma"/>
            <family val="2"/>
          </rPr>
          <t xml:space="preserve">
1 Sprinkler pro Baum</t>
        </r>
      </text>
    </comment>
    <comment ref="B65" authorId="0" shapeId="0" xr:uid="{00000000-0006-0000-0800-000008000000}">
      <text>
        <r>
          <rPr>
            <b/>
            <sz val="8"/>
            <color indexed="81"/>
            <rFont val="Tahoma"/>
            <family val="2"/>
          </rPr>
          <t>Liebegg:</t>
        </r>
        <r>
          <rPr>
            <sz val="8"/>
            <color indexed="81"/>
            <rFont val="Tahoma"/>
            <family val="2"/>
          </rPr>
          <t xml:space="preserve">
17 Stck. Anbohrschellen 50mmx3/4. à 4.80, 
17 Stck. Plasim Anschlusskupplung 3/4"x25mm à 4.80  
18 Stck. Plasim Schlauchkupplungen 25x25mm à 5.80
17 Stck. Plassim Schlauchenden  4.80</t>
        </r>
      </text>
    </comment>
    <comment ref="B67" authorId="0" shapeId="0" xr:uid="{00000000-0006-0000-0800-000009000000}">
      <text>
        <r>
          <rPr>
            <b/>
            <sz val="8"/>
            <color indexed="81"/>
            <rFont val="Tahoma"/>
            <family val="2"/>
          </rPr>
          <t>Liebegg:</t>
        </r>
        <r>
          <rPr>
            <sz val="8"/>
            <color indexed="81"/>
            <rFont val="Tahoma"/>
            <family val="2"/>
          </rPr>
          <t xml:space="preserve">
Schlauchaufhänger Blitzbinder 7 cm, kg à 490 Stck, 4 kg à 38.-</t>
        </r>
      </text>
    </comment>
    <comment ref="B70" authorId="0" shapeId="0" xr:uid="{00000000-0006-0000-0800-00000A000000}">
      <text>
        <r>
          <rPr>
            <b/>
            <sz val="8"/>
            <color indexed="81"/>
            <rFont val="Tahoma"/>
            <family val="2"/>
          </rPr>
          <t>Liebegg:</t>
        </r>
        <r>
          <rPr>
            <sz val="8"/>
            <color indexed="81"/>
            <rFont val="Tahoma"/>
            <family val="2"/>
          </rPr>
          <t xml:space="preserve">
Sektorenleitung Zuleitung Kultur
Für Hauptlietung PE 63mm PN 12.5 bzw. PE ND 8 63 mm à 6.--</t>
        </r>
      </text>
    </comment>
    <comment ref="B73" authorId="0" shapeId="0" xr:uid="{00000000-0006-0000-0800-00000B000000}">
      <text>
        <r>
          <rPr>
            <b/>
            <sz val="8"/>
            <color indexed="81"/>
            <rFont val="Tahoma"/>
            <family val="2"/>
          </rPr>
          <t>Liebegg:</t>
        </r>
        <r>
          <rPr>
            <sz val="8"/>
            <color indexed="81"/>
            <rFont val="Tahoma"/>
            <family val="2"/>
          </rPr>
          <t xml:space="preserve">
4 Stck Sektorenleitungsendeverschluss 50mm  à 10.80,
4 Anschlusskupplung 2" 50mm für  Sektoren  à 18.4 4 Sektoren
</t>
        </r>
      </text>
    </comment>
    <comment ref="B79" authorId="0" shapeId="0" xr:uid="{00000000-0006-0000-0800-00000C000000}">
      <text>
        <r>
          <rPr>
            <b/>
            <sz val="8"/>
            <color indexed="81"/>
            <rFont val="Tahoma"/>
            <family val="2"/>
          </rPr>
          <t>Liebegg:</t>
        </r>
        <r>
          <rPr>
            <sz val="8"/>
            <color indexed="81"/>
            <rFont val="Tahoma"/>
            <family val="2"/>
          </rPr>
          <t xml:space="preserve">
Bermet AC 24 Volt 1.5"</t>
        </r>
      </text>
    </comment>
    <comment ref="B80" authorId="0" shapeId="0" xr:uid="{00000000-0006-0000-0800-00000D000000}">
      <text>
        <r>
          <rPr>
            <b/>
            <sz val="8"/>
            <color indexed="81"/>
            <rFont val="Tahoma"/>
            <family val="2"/>
          </rPr>
          <t>Liebegg:</t>
        </r>
        <r>
          <rPr>
            <sz val="8"/>
            <color indexed="81"/>
            <rFont val="Tahoma"/>
            <family val="2"/>
          </rPr>
          <t xml:space="preserve">
Miracle Netz 220 V 6 Stationen inkl. Abdeckung Wasserdicht</t>
        </r>
      </text>
    </comment>
    <comment ref="B81" authorId="0" shapeId="0" xr:uid="{00000000-0006-0000-0800-00000E000000}">
      <text>
        <r>
          <rPr>
            <b/>
            <sz val="8"/>
            <color indexed="81"/>
            <rFont val="Tahoma"/>
            <family val="2"/>
          </rPr>
          <t>Liebegg:</t>
        </r>
        <r>
          <rPr>
            <sz val="8"/>
            <color indexed="81"/>
            <rFont val="Tahoma"/>
            <family val="2"/>
          </rPr>
          <t xml:space="preserve">
Druckmanometer</t>
        </r>
      </text>
    </comment>
    <comment ref="F83" authorId="0" shapeId="0" xr:uid="{00000000-0006-0000-0800-00000F000000}">
      <text>
        <r>
          <rPr>
            <b/>
            <sz val="8"/>
            <color indexed="81"/>
            <rFont val="Tahoma"/>
            <family val="2"/>
          </rPr>
          <t>Liebegg:</t>
        </r>
        <r>
          <rPr>
            <sz val="8"/>
            <color indexed="81"/>
            <rFont val="Tahoma"/>
            <family val="2"/>
          </rPr>
          <t xml:space="preserve">
Dosatron D8R</t>
        </r>
      </text>
    </comment>
    <comment ref="A114" authorId="0" shapeId="0" xr:uid="{00000000-0006-0000-0800-000010000000}">
      <text>
        <r>
          <rPr>
            <b/>
            <sz val="8"/>
            <color indexed="81"/>
            <rFont val="Tahoma"/>
            <family val="2"/>
          </rPr>
          <t>Liebegg:</t>
        </r>
        <r>
          <rPr>
            <sz val="8"/>
            <color indexed="81"/>
            <rFont val="Tahoma"/>
            <family val="2"/>
          </rPr>
          <t xml:space="preserve">
Für Hauptlietung PE 63mm PN 12.5 bzw. PE ND 8 63 mm à 6.--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P. Mouron</author>
    <author>FAW</author>
  </authors>
  <commentList>
    <comment ref="C45" authorId="0" shapeId="0" xr:uid="{00000000-0006-0000-0900-000001000000}">
      <text>
        <r>
          <rPr>
            <b/>
            <sz val="8"/>
            <color indexed="81"/>
            <rFont val="Tahoma"/>
            <family val="2"/>
          </rPr>
          <t>P. Mouron:</t>
        </r>
        <r>
          <rPr>
            <sz val="8"/>
            <color indexed="81"/>
            <rFont val="Tahoma"/>
            <family val="2"/>
          </rPr>
          <t xml:space="preserve">
Faustregel: 10 % der Arbeit</t>
        </r>
      </text>
    </comment>
    <comment ref="B53" authorId="1" shapeId="0" xr:uid="{00000000-0006-0000-0900-000002000000}">
      <text>
        <r>
          <rPr>
            <sz val="9"/>
            <color indexed="81"/>
            <rFont val="Tahoma"/>
            <family val="2"/>
          </rPr>
          <t>200cm Länge, 7x7 cm Dimension; nur oben gefasst</t>
        </r>
      </text>
    </comment>
    <comment ref="B54" authorId="1" shapeId="0" xr:uid="{00000000-0006-0000-0900-000003000000}">
      <text>
        <r>
          <rPr>
            <sz val="9"/>
            <color indexed="81"/>
            <rFont val="Tahoma"/>
            <family val="2"/>
          </rPr>
          <t>225 cm lang; 8x8cm Dimension, nur oben gefasst</t>
        </r>
      </text>
    </comment>
    <comment ref="B55" authorId="1" shapeId="0" xr:uid="{00000000-0006-0000-0900-000004000000}">
      <text>
        <r>
          <rPr>
            <sz val="9"/>
            <color indexed="81"/>
            <rFont val="Tahoma"/>
            <family val="2"/>
          </rPr>
          <t>225 cm lang; 8x10cm Dimension, nur oben gefasst; für die Befestigung der Tore gebraucht</t>
        </r>
      </text>
    </comment>
    <comment ref="B57" authorId="1" shapeId="0" xr:uid="{00000000-0006-0000-0900-000005000000}">
      <text>
        <r>
          <rPr>
            <sz val="9"/>
            <color indexed="81"/>
            <rFont val="Tahoma"/>
            <family val="2"/>
          </rPr>
          <t>Eisendraht stark verzinkt, 3mm Durchmesser, ca 18m per kg</t>
        </r>
      </text>
    </comment>
    <comment ref="E142" authorId="1" shapeId="0" xr:uid="{00000000-0006-0000-0900-000006000000}">
      <text>
        <r>
          <rPr>
            <b/>
            <sz val="8"/>
            <color indexed="81"/>
            <rFont val="Tahoma"/>
            <family val="2"/>
          </rPr>
          <t>ACW:</t>
        </r>
        <r>
          <rPr>
            <sz val="8"/>
            <color indexed="81"/>
            <rFont val="Tahoma"/>
            <family val="2"/>
          </rPr>
          <t xml:space="preserve">
Quelle Anbauempfehlung für die Obstregion Nordwestschweiz, mit nur 21 Reihen</t>
        </r>
      </text>
    </comment>
    <comment ref="D149" authorId="1" shapeId="0" xr:uid="{00000000-0006-0000-0900-000007000000}">
      <text>
        <r>
          <rPr>
            <b/>
            <sz val="8"/>
            <color indexed="81"/>
            <rFont val="Tahoma"/>
            <family val="2"/>
          </rPr>
          <t>ACW:</t>
        </r>
        <r>
          <rPr>
            <sz val="8"/>
            <color indexed="81"/>
            <rFont val="Tahoma"/>
            <family val="2"/>
          </rPr>
          <t xml:space="preserve">
Hagelnetz ja/nein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FAW</author>
    <author>P. Mouron</author>
    <author>zue</author>
  </authors>
  <commentList>
    <comment ref="F6" authorId="0" shapeId="0" xr:uid="{00000000-0006-0000-0A00-000001000000}">
      <text>
        <r>
          <rPr>
            <sz val="9"/>
            <color indexed="81"/>
            <rFont val="Tahoma"/>
            <family val="2"/>
          </rPr>
          <t>Diese Seite ist schreibgeschützt. Der Schutz kann aufgehoben werden mit dem Kennwort "Arbokost"</t>
        </r>
      </text>
    </comment>
    <comment ref="C16" authorId="1" shapeId="0" xr:uid="{00000000-0006-0000-0A00-000002000000}">
      <text>
        <r>
          <rPr>
            <b/>
            <sz val="8"/>
            <color indexed="81"/>
            <rFont val="Tahoma"/>
            <family val="2"/>
          </rPr>
          <t>P. Mouron:</t>
        </r>
        <r>
          <rPr>
            <sz val="8"/>
            <color indexed="81"/>
            <rFont val="Tahoma"/>
            <family val="2"/>
          </rPr>
          <t xml:space="preserve">
keine düngung verrechnet, weil Dünger von erstellung teilweise während dem  1. Standjahr verabreicht wird.</t>
        </r>
      </text>
    </comment>
    <comment ref="C19" authorId="1" shapeId="0" xr:uid="{00000000-0006-0000-0A00-000003000000}">
      <text>
        <r>
          <rPr>
            <b/>
            <sz val="8"/>
            <color indexed="81"/>
            <rFont val="Tahoma"/>
            <family val="2"/>
          </rPr>
          <t>P. Mouron:</t>
        </r>
        <r>
          <rPr>
            <sz val="8"/>
            <color indexed="81"/>
            <rFont val="Tahoma"/>
            <family val="2"/>
          </rPr>
          <t xml:space="preserve">
Anzahl Fahrten
</t>
        </r>
      </text>
    </comment>
    <comment ref="J19" authorId="1" shapeId="0" xr:uid="{00000000-0006-0000-0A00-000004000000}">
      <text>
        <r>
          <rPr>
            <b/>
            <sz val="8"/>
            <color indexed="81"/>
            <rFont val="Tahoma"/>
            <family val="2"/>
          </rPr>
          <t>P. Mouron:</t>
        </r>
        <r>
          <rPr>
            <sz val="8"/>
            <color indexed="81"/>
            <rFont val="Tahoma"/>
            <family val="2"/>
          </rPr>
          <t xml:space="preserve">
Anzahl Fahrten
</t>
        </r>
      </text>
    </comment>
    <comment ref="Q19" authorId="1" shapeId="0" xr:uid="{00000000-0006-0000-0A00-000005000000}">
      <text>
        <r>
          <rPr>
            <b/>
            <sz val="8"/>
            <color indexed="81"/>
            <rFont val="Tahoma"/>
            <family val="2"/>
          </rPr>
          <t>P. Mouron:</t>
        </r>
        <r>
          <rPr>
            <sz val="8"/>
            <color indexed="81"/>
            <rFont val="Tahoma"/>
            <family val="2"/>
          </rPr>
          <t xml:space="preserve">
Anzahl Fahrten
</t>
        </r>
      </text>
    </comment>
    <comment ref="X19" authorId="1" shapeId="0" xr:uid="{00000000-0006-0000-0A00-000006000000}">
      <text>
        <r>
          <rPr>
            <b/>
            <sz val="8"/>
            <color indexed="81"/>
            <rFont val="Tahoma"/>
            <family val="2"/>
          </rPr>
          <t>P. Mouron:</t>
        </r>
        <r>
          <rPr>
            <sz val="8"/>
            <color indexed="81"/>
            <rFont val="Tahoma"/>
            <family val="2"/>
          </rPr>
          <t xml:space="preserve">
Anzahl Fahrten
</t>
        </r>
      </text>
    </comment>
    <comment ref="AE19" authorId="1" shapeId="0" xr:uid="{00000000-0006-0000-0A00-000007000000}">
      <text>
        <r>
          <rPr>
            <b/>
            <sz val="8"/>
            <color indexed="81"/>
            <rFont val="Tahoma"/>
            <family val="2"/>
          </rPr>
          <t>P. Mouron:</t>
        </r>
        <r>
          <rPr>
            <sz val="8"/>
            <color indexed="81"/>
            <rFont val="Tahoma"/>
            <family val="2"/>
          </rPr>
          <t xml:space="preserve">
Anzahl Fahrten
</t>
        </r>
      </text>
    </comment>
    <comment ref="AL19" authorId="1" shapeId="0" xr:uid="{00000000-0006-0000-0A00-000008000000}">
      <text>
        <r>
          <rPr>
            <b/>
            <sz val="8"/>
            <color indexed="81"/>
            <rFont val="Tahoma"/>
            <family val="2"/>
          </rPr>
          <t>P. Mouron:</t>
        </r>
        <r>
          <rPr>
            <sz val="8"/>
            <color indexed="81"/>
            <rFont val="Tahoma"/>
            <family val="2"/>
          </rPr>
          <t xml:space="preserve">
Anzahl Fahrten
</t>
        </r>
      </text>
    </comment>
    <comment ref="AS19" authorId="1" shapeId="0" xr:uid="{00000000-0006-0000-0A00-000009000000}">
      <text>
        <r>
          <rPr>
            <b/>
            <sz val="8"/>
            <color indexed="81"/>
            <rFont val="Tahoma"/>
            <family val="2"/>
          </rPr>
          <t>P. Mouron:</t>
        </r>
        <r>
          <rPr>
            <sz val="8"/>
            <color indexed="81"/>
            <rFont val="Tahoma"/>
            <family val="2"/>
          </rPr>
          <t xml:space="preserve">
Anzahl Fahrten
</t>
        </r>
      </text>
    </comment>
    <comment ref="E38" authorId="1" shapeId="0" xr:uid="{00000000-0006-0000-0A00-00000A000000}">
      <text>
        <r>
          <rPr>
            <b/>
            <sz val="8"/>
            <color indexed="81"/>
            <rFont val="Tahoma"/>
            <family val="2"/>
          </rPr>
          <t>P. Mouron:</t>
        </r>
        <r>
          <rPr>
            <sz val="8"/>
            <color indexed="81"/>
            <rFont val="Tahoma"/>
            <family val="2"/>
          </rPr>
          <t xml:space="preserve">
FAT-Ansätze für Miete minus 10 %</t>
        </r>
      </text>
    </comment>
    <comment ref="L38" authorId="1" shapeId="0" xr:uid="{00000000-0006-0000-0A00-00000B000000}">
      <text>
        <r>
          <rPr>
            <b/>
            <sz val="8"/>
            <color indexed="81"/>
            <rFont val="Tahoma"/>
            <family val="2"/>
          </rPr>
          <t>P. Mouron:</t>
        </r>
        <r>
          <rPr>
            <sz val="8"/>
            <color indexed="81"/>
            <rFont val="Tahoma"/>
            <family val="2"/>
          </rPr>
          <t xml:space="preserve">
FAT-Ansätze für Miete minus 10 %</t>
        </r>
      </text>
    </comment>
    <comment ref="S38" authorId="1" shapeId="0" xr:uid="{00000000-0006-0000-0A00-00000C000000}">
      <text>
        <r>
          <rPr>
            <b/>
            <sz val="8"/>
            <color indexed="81"/>
            <rFont val="Tahoma"/>
            <family val="2"/>
          </rPr>
          <t>P. Mouron:</t>
        </r>
        <r>
          <rPr>
            <sz val="8"/>
            <color indexed="81"/>
            <rFont val="Tahoma"/>
            <family val="2"/>
          </rPr>
          <t xml:space="preserve">
FAT-Ansätze für Miete minus 10 %</t>
        </r>
      </text>
    </comment>
    <comment ref="Z38" authorId="1" shapeId="0" xr:uid="{00000000-0006-0000-0A00-00000D000000}">
      <text>
        <r>
          <rPr>
            <b/>
            <sz val="8"/>
            <color indexed="81"/>
            <rFont val="Tahoma"/>
            <family val="2"/>
          </rPr>
          <t>P. Mouron:</t>
        </r>
        <r>
          <rPr>
            <sz val="8"/>
            <color indexed="81"/>
            <rFont val="Tahoma"/>
            <family val="2"/>
          </rPr>
          <t xml:space="preserve">
FAT-Ansätze für Miete minus 10 %</t>
        </r>
      </text>
    </comment>
    <comment ref="AG38" authorId="1" shapeId="0" xr:uid="{00000000-0006-0000-0A00-00000E000000}">
      <text>
        <r>
          <rPr>
            <b/>
            <sz val="8"/>
            <color indexed="81"/>
            <rFont val="Tahoma"/>
            <family val="2"/>
          </rPr>
          <t>P. Mouron:</t>
        </r>
        <r>
          <rPr>
            <sz val="8"/>
            <color indexed="81"/>
            <rFont val="Tahoma"/>
            <family val="2"/>
          </rPr>
          <t xml:space="preserve">
FAT-Ansätze für Miete minus 10 %</t>
        </r>
      </text>
    </comment>
    <comment ref="AN38" authorId="1" shapeId="0" xr:uid="{00000000-0006-0000-0A00-00000F000000}">
      <text>
        <r>
          <rPr>
            <b/>
            <sz val="8"/>
            <color indexed="81"/>
            <rFont val="Tahoma"/>
            <family val="2"/>
          </rPr>
          <t>P. Mouron:</t>
        </r>
        <r>
          <rPr>
            <sz val="8"/>
            <color indexed="81"/>
            <rFont val="Tahoma"/>
            <family val="2"/>
          </rPr>
          <t xml:space="preserve">
FAT-Ansätze für Miete minus 10 %</t>
        </r>
      </text>
    </comment>
    <comment ref="AU38" authorId="1" shapeId="0" xr:uid="{00000000-0006-0000-0A00-000010000000}">
      <text>
        <r>
          <rPr>
            <b/>
            <sz val="8"/>
            <color indexed="81"/>
            <rFont val="Tahoma"/>
            <family val="2"/>
          </rPr>
          <t>P. Mouron:</t>
        </r>
        <r>
          <rPr>
            <sz val="8"/>
            <color indexed="81"/>
            <rFont val="Tahoma"/>
            <family val="2"/>
          </rPr>
          <t xml:space="preserve">
FAT-Ansätze für Miete minus 10 %</t>
        </r>
      </text>
    </comment>
    <comment ref="BB38" authorId="1" shapeId="0" xr:uid="{00000000-0006-0000-0A00-000011000000}">
      <text>
        <r>
          <rPr>
            <b/>
            <sz val="8"/>
            <color indexed="81"/>
            <rFont val="Tahoma"/>
            <family val="2"/>
          </rPr>
          <t>P. Mouron:</t>
        </r>
        <r>
          <rPr>
            <sz val="8"/>
            <color indexed="81"/>
            <rFont val="Tahoma"/>
            <family val="2"/>
          </rPr>
          <t xml:space="preserve">
FAT-Ansätze für Miete minus 10 %</t>
        </r>
      </text>
    </comment>
    <comment ref="BI38" authorId="1" shapeId="0" xr:uid="{00000000-0006-0000-0A00-000012000000}">
      <text>
        <r>
          <rPr>
            <b/>
            <sz val="8"/>
            <color indexed="81"/>
            <rFont val="Tahoma"/>
            <family val="2"/>
          </rPr>
          <t>P. Mouron:</t>
        </r>
        <r>
          <rPr>
            <sz val="8"/>
            <color indexed="81"/>
            <rFont val="Tahoma"/>
            <family val="2"/>
          </rPr>
          <t xml:space="preserve">
FAT-Ansätze für Miete minus 10 %</t>
        </r>
      </text>
    </comment>
    <comment ref="BP38" authorId="1" shapeId="0" xr:uid="{00000000-0006-0000-0A00-000013000000}">
      <text>
        <r>
          <rPr>
            <b/>
            <sz val="8"/>
            <color indexed="81"/>
            <rFont val="Tahoma"/>
            <family val="2"/>
          </rPr>
          <t>P. Mouron:</t>
        </r>
        <r>
          <rPr>
            <sz val="8"/>
            <color indexed="81"/>
            <rFont val="Tahoma"/>
            <family val="2"/>
          </rPr>
          <t xml:space="preserve">
FAT-Ansätze für Miete minus 10 %</t>
        </r>
      </text>
    </comment>
    <comment ref="BW38" authorId="1" shapeId="0" xr:uid="{00000000-0006-0000-0A00-000014000000}">
      <text>
        <r>
          <rPr>
            <b/>
            <sz val="8"/>
            <color indexed="81"/>
            <rFont val="Tahoma"/>
            <family val="2"/>
          </rPr>
          <t>P. Mouron:</t>
        </r>
        <r>
          <rPr>
            <sz val="8"/>
            <color indexed="81"/>
            <rFont val="Tahoma"/>
            <family val="2"/>
          </rPr>
          <t xml:space="preserve">
FAT-Ansätze für Miete minus 10 %</t>
        </r>
      </text>
    </comment>
    <comment ref="CD38" authorId="1" shapeId="0" xr:uid="{00000000-0006-0000-0A00-000015000000}">
      <text>
        <r>
          <rPr>
            <b/>
            <sz val="8"/>
            <color indexed="81"/>
            <rFont val="Tahoma"/>
            <family val="2"/>
          </rPr>
          <t>P. Mouron:</t>
        </r>
        <r>
          <rPr>
            <sz val="8"/>
            <color indexed="81"/>
            <rFont val="Tahoma"/>
            <family val="2"/>
          </rPr>
          <t xml:space="preserve">
FAT-Ansätze für Miete minus 10 %</t>
        </r>
      </text>
    </comment>
    <comment ref="CK38" authorId="1" shapeId="0" xr:uid="{00000000-0006-0000-0A00-000016000000}">
      <text>
        <r>
          <rPr>
            <b/>
            <sz val="8"/>
            <color indexed="81"/>
            <rFont val="Tahoma"/>
            <family val="2"/>
          </rPr>
          <t>P. Mouron:</t>
        </r>
        <r>
          <rPr>
            <sz val="8"/>
            <color indexed="81"/>
            <rFont val="Tahoma"/>
            <family val="2"/>
          </rPr>
          <t xml:space="preserve">
FAT-Ansätze für Miete minus 10 %</t>
        </r>
      </text>
    </comment>
    <comment ref="CR38" authorId="1" shapeId="0" xr:uid="{00000000-0006-0000-0A00-000017000000}">
      <text>
        <r>
          <rPr>
            <b/>
            <sz val="8"/>
            <color indexed="81"/>
            <rFont val="Tahoma"/>
            <family val="2"/>
          </rPr>
          <t>P. Mouron:</t>
        </r>
        <r>
          <rPr>
            <sz val="8"/>
            <color indexed="81"/>
            <rFont val="Tahoma"/>
            <family val="2"/>
          </rPr>
          <t xml:space="preserve">
FAT-Ansätze für Miete minus 10 %</t>
        </r>
      </text>
    </comment>
    <comment ref="CY38" authorId="1" shapeId="0" xr:uid="{00000000-0006-0000-0A00-000018000000}">
      <text>
        <r>
          <rPr>
            <b/>
            <sz val="8"/>
            <color indexed="81"/>
            <rFont val="Tahoma"/>
            <family val="2"/>
          </rPr>
          <t>P. Mouron:</t>
        </r>
        <r>
          <rPr>
            <sz val="8"/>
            <color indexed="81"/>
            <rFont val="Tahoma"/>
            <family val="2"/>
          </rPr>
          <t xml:space="preserve">
FAT-Ansätze für Miete minus 10 %</t>
        </r>
      </text>
    </comment>
    <comment ref="DF38" authorId="1" shapeId="0" xr:uid="{00000000-0006-0000-0A00-000019000000}">
      <text>
        <r>
          <rPr>
            <b/>
            <sz val="8"/>
            <color indexed="81"/>
            <rFont val="Tahoma"/>
            <family val="2"/>
          </rPr>
          <t>P. Mouron:</t>
        </r>
        <r>
          <rPr>
            <sz val="8"/>
            <color indexed="81"/>
            <rFont val="Tahoma"/>
            <family val="2"/>
          </rPr>
          <t xml:space="preserve">
FAT-Ansätze für Miete minus 10 %</t>
        </r>
      </text>
    </comment>
    <comment ref="DM38" authorId="1" shapeId="0" xr:uid="{00000000-0006-0000-0A00-00001A000000}">
      <text>
        <r>
          <rPr>
            <b/>
            <sz val="8"/>
            <color indexed="81"/>
            <rFont val="Tahoma"/>
            <family val="2"/>
          </rPr>
          <t>P. Mouron:</t>
        </r>
        <r>
          <rPr>
            <sz val="8"/>
            <color indexed="81"/>
            <rFont val="Tahoma"/>
            <family val="2"/>
          </rPr>
          <t xml:space="preserve">
FAT-Ansätze für Miete minus 10 %</t>
        </r>
      </text>
    </comment>
    <comment ref="DT38" authorId="1" shapeId="0" xr:uid="{00000000-0006-0000-0A00-00001B000000}">
      <text>
        <r>
          <rPr>
            <b/>
            <sz val="8"/>
            <color indexed="81"/>
            <rFont val="Tahoma"/>
            <family val="2"/>
          </rPr>
          <t>P. Mouron:</t>
        </r>
        <r>
          <rPr>
            <sz val="8"/>
            <color indexed="81"/>
            <rFont val="Tahoma"/>
            <family val="2"/>
          </rPr>
          <t xml:space="preserve">
FAT-Ansätze für Miete minus 10 %</t>
        </r>
      </text>
    </comment>
    <comment ref="EA38" authorId="1" shapeId="0" xr:uid="{00000000-0006-0000-0A00-00001C000000}">
      <text>
        <r>
          <rPr>
            <b/>
            <sz val="8"/>
            <color indexed="81"/>
            <rFont val="Tahoma"/>
            <family val="2"/>
          </rPr>
          <t>P. Mouron:</t>
        </r>
        <r>
          <rPr>
            <sz val="8"/>
            <color indexed="81"/>
            <rFont val="Tahoma"/>
            <family val="2"/>
          </rPr>
          <t xml:space="preserve">
FAT-Ansätze für Miete minus 10 %</t>
        </r>
      </text>
    </comment>
    <comment ref="EH38" authorId="1" shapeId="0" xr:uid="{00000000-0006-0000-0A00-00001D000000}">
      <text>
        <r>
          <rPr>
            <b/>
            <sz val="8"/>
            <color indexed="81"/>
            <rFont val="Tahoma"/>
            <family val="2"/>
          </rPr>
          <t>P. Mouron:</t>
        </r>
        <r>
          <rPr>
            <sz val="8"/>
            <color indexed="81"/>
            <rFont val="Tahoma"/>
            <family val="2"/>
          </rPr>
          <t xml:space="preserve">
FAT-Ansätze für Miete minus 10 %</t>
        </r>
      </text>
    </comment>
    <comment ref="C42" authorId="1" shapeId="0" xr:uid="{00000000-0006-0000-0A00-00001E000000}">
      <text>
        <r>
          <rPr>
            <b/>
            <sz val="10"/>
            <color indexed="81"/>
            <rFont val="Tahoma"/>
            <family val="2"/>
          </rPr>
          <t>Berechnung der kg pro Fuder:</t>
        </r>
        <r>
          <rPr>
            <sz val="10"/>
            <color indexed="81"/>
            <rFont val="Tahoma"/>
            <family val="2"/>
          </rPr>
          <t xml:space="preserve">
Erntewagen für 4 Grosskisten (Zug):
4 Grosskosten à 300 kg = 1200 kg bei angenommer Auslastung 
von 80 % = 0.8*1200 = </t>
        </r>
        <r>
          <rPr>
            <b/>
            <sz val="10"/>
            <color indexed="81"/>
            <rFont val="Tahoma"/>
            <family val="2"/>
          </rPr>
          <t>960 kg pro Fuder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J42" authorId="1" shapeId="0" xr:uid="{00000000-0006-0000-0A00-00001F000000}">
      <text>
        <r>
          <rPr>
            <b/>
            <sz val="10"/>
            <color indexed="81"/>
            <rFont val="Tahoma"/>
            <family val="2"/>
          </rPr>
          <t>Berechnung der kg pro Fuder:</t>
        </r>
        <r>
          <rPr>
            <sz val="10"/>
            <color indexed="81"/>
            <rFont val="Tahoma"/>
            <family val="2"/>
          </rPr>
          <t xml:space="preserve">
Erntewagen für 4 Grosskisten (Zug):
4 Grosskosten à 300 kg = 1200 kg bei angenommer Auslastung 
von 80 % = 0.8*1200 = </t>
        </r>
        <r>
          <rPr>
            <b/>
            <sz val="10"/>
            <color indexed="81"/>
            <rFont val="Tahoma"/>
            <family val="2"/>
          </rPr>
          <t>960 kg pro Fuder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Q42" authorId="1" shapeId="0" xr:uid="{00000000-0006-0000-0A00-000020000000}">
      <text>
        <r>
          <rPr>
            <b/>
            <sz val="10"/>
            <color indexed="81"/>
            <rFont val="Tahoma"/>
            <family val="2"/>
          </rPr>
          <t>Berechnung der kg pro Fuder:</t>
        </r>
        <r>
          <rPr>
            <sz val="10"/>
            <color indexed="81"/>
            <rFont val="Tahoma"/>
            <family val="2"/>
          </rPr>
          <t xml:space="preserve">
Erntewagen für 4 Grosskisten (Zug):
4 Grosskosten à 300 kg = 1200 kg bei angenommer Auslastung 
von 80 % = 0.8*1200 = </t>
        </r>
        <r>
          <rPr>
            <b/>
            <sz val="10"/>
            <color indexed="81"/>
            <rFont val="Tahoma"/>
            <family val="2"/>
          </rPr>
          <t>960 kg pro Fuder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X42" authorId="1" shapeId="0" xr:uid="{00000000-0006-0000-0A00-000021000000}">
      <text>
        <r>
          <rPr>
            <b/>
            <sz val="10"/>
            <color indexed="81"/>
            <rFont val="Tahoma"/>
            <family val="2"/>
          </rPr>
          <t>Berechnung der kg pro Fuder:</t>
        </r>
        <r>
          <rPr>
            <sz val="10"/>
            <color indexed="81"/>
            <rFont val="Tahoma"/>
            <family val="2"/>
          </rPr>
          <t xml:space="preserve">
Erntewagen für 4 Grosskisten (Zug):
4 Grosskosten à 300 kg = 1200 kg bei angenommer Auslastung 
von 80 % = 0.8*1200 = </t>
        </r>
        <r>
          <rPr>
            <b/>
            <sz val="10"/>
            <color indexed="81"/>
            <rFont val="Tahoma"/>
            <family val="2"/>
          </rPr>
          <t>960 kg pro Fuder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AE42" authorId="1" shapeId="0" xr:uid="{00000000-0006-0000-0A00-000022000000}">
      <text>
        <r>
          <rPr>
            <b/>
            <sz val="10"/>
            <color indexed="81"/>
            <rFont val="Tahoma"/>
            <family val="2"/>
          </rPr>
          <t>Berechnung der kg pro Fuder:</t>
        </r>
        <r>
          <rPr>
            <sz val="10"/>
            <color indexed="81"/>
            <rFont val="Tahoma"/>
            <family val="2"/>
          </rPr>
          <t xml:space="preserve">
Erntewagen für 4 Grosskisten (Zug):
4 Grosskosten à 300 kg = 1200 kg bei angenommer Auslastung 
von 80 % = 0.8*1200 = </t>
        </r>
        <r>
          <rPr>
            <b/>
            <sz val="10"/>
            <color indexed="81"/>
            <rFont val="Tahoma"/>
            <family val="2"/>
          </rPr>
          <t>960 kg pro Fuder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AL42" authorId="1" shapeId="0" xr:uid="{00000000-0006-0000-0A00-000023000000}">
      <text>
        <r>
          <rPr>
            <b/>
            <sz val="10"/>
            <color indexed="81"/>
            <rFont val="Tahoma"/>
            <family val="2"/>
          </rPr>
          <t>Berechnung der kg pro Fuder:</t>
        </r>
        <r>
          <rPr>
            <sz val="10"/>
            <color indexed="81"/>
            <rFont val="Tahoma"/>
            <family val="2"/>
          </rPr>
          <t xml:space="preserve">
Erntewagen für 4 Grosskisten (Zug):
4 Grosskosten à 300 kg = 1200 kg bei angenommer Auslastung 
von 80 % = 0.8*1200 = </t>
        </r>
        <r>
          <rPr>
            <b/>
            <sz val="10"/>
            <color indexed="81"/>
            <rFont val="Tahoma"/>
            <family val="2"/>
          </rPr>
          <t>960 kg pro Fuder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AS42" authorId="1" shapeId="0" xr:uid="{00000000-0006-0000-0A00-000024000000}">
      <text>
        <r>
          <rPr>
            <b/>
            <sz val="10"/>
            <color indexed="81"/>
            <rFont val="Tahoma"/>
            <family val="2"/>
          </rPr>
          <t>Berechnung der kg pro Fuder:</t>
        </r>
        <r>
          <rPr>
            <sz val="10"/>
            <color indexed="81"/>
            <rFont val="Tahoma"/>
            <family val="2"/>
          </rPr>
          <t xml:space="preserve">
Erntewagen für 4 Grosskisten (Zug):
4 Grosskosten à 300 kg = 1200 kg bei angenommer Auslastung 
von 80 % = 0.8*1200 = </t>
        </r>
        <r>
          <rPr>
            <b/>
            <sz val="10"/>
            <color indexed="81"/>
            <rFont val="Tahoma"/>
            <family val="2"/>
          </rPr>
          <t>960 kg pro Fuder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AZ42" authorId="1" shapeId="0" xr:uid="{00000000-0006-0000-0A00-000025000000}">
      <text>
        <r>
          <rPr>
            <b/>
            <sz val="10"/>
            <color indexed="81"/>
            <rFont val="Tahoma"/>
            <family val="2"/>
          </rPr>
          <t>Berechnung der kg pro Fuder:</t>
        </r>
        <r>
          <rPr>
            <sz val="10"/>
            <color indexed="81"/>
            <rFont val="Tahoma"/>
            <family val="2"/>
          </rPr>
          <t xml:space="preserve">
Erntewagen für 4 Grosskisten (Zug):
4 Grosskosten à 300 kg = 1200 kg bei angenommer Auslastung 
von 80 % = 0.8*1200 = </t>
        </r>
        <r>
          <rPr>
            <b/>
            <sz val="10"/>
            <color indexed="81"/>
            <rFont val="Tahoma"/>
            <family val="2"/>
          </rPr>
          <t>960 kg pro Fuder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G42" authorId="1" shapeId="0" xr:uid="{00000000-0006-0000-0A00-000026000000}">
      <text>
        <r>
          <rPr>
            <b/>
            <sz val="10"/>
            <color indexed="81"/>
            <rFont val="Tahoma"/>
            <family val="2"/>
          </rPr>
          <t>Berechnung der kg pro Fuder:</t>
        </r>
        <r>
          <rPr>
            <sz val="10"/>
            <color indexed="81"/>
            <rFont val="Tahoma"/>
            <family val="2"/>
          </rPr>
          <t xml:space="preserve">
Erntewagen für 4 Grosskisten (Zug):
4 Grosskosten à 300 kg = 1200 kg bei angenommer Auslastung 
von 80 % = 0.8*1200 = </t>
        </r>
        <r>
          <rPr>
            <b/>
            <sz val="10"/>
            <color indexed="81"/>
            <rFont val="Tahoma"/>
            <family val="2"/>
          </rPr>
          <t>960 kg pro Fuder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N42" authorId="1" shapeId="0" xr:uid="{00000000-0006-0000-0A00-000027000000}">
      <text>
        <r>
          <rPr>
            <b/>
            <sz val="10"/>
            <color indexed="81"/>
            <rFont val="Tahoma"/>
            <family val="2"/>
          </rPr>
          <t>Berechnung der kg pro Fuder:</t>
        </r>
        <r>
          <rPr>
            <sz val="10"/>
            <color indexed="81"/>
            <rFont val="Tahoma"/>
            <family val="2"/>
          </rPr>
          <t xml:space="preserve">
Erntewagen für 4 Grosskisten (Zug):
4 Grosskosten à 300 kg = 1200 kg bei angenommer Auslastung 
von 80 % = 0.8*1200 = </t>
        </r>
        <r>
          <rPr>
            <b/>
            <sz val="10"/>
            <color indexed="81"/>
            <rFont val="Tahoma"/>
            <family val="2"/>
          </rPr>
          <t>960 kg pro Fuder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U42" authorId="1" shapeId="0" xr:uid="{00000000-0006-0000-0A00-000028000000}">
      <text>
        <r>
          <rPr>
            <b/>
            <sz val="10"/>
            <color indexed="81"/>
            <rFont val="Tahoma"/>
            <family val="2"/>
          </rPr>
          <t>Berechnung der kg pro Fuder:</t>
        </r>
        <r>
          <rPr>
            <sz val="10"/>
            <color indexed="81"/>
            <rFont val="Tahoma"/>
            <family val="2"/>
          </rPr>
          <t xml:space="preserve">
Erntewagen für 4 Grosskisten (Zug):
4 Grosskosten à 300 kg = 1200 kg bei angenommer Auslastung 
von 80 % = 0.8*1200 = </t>
        </r>
        <r>
          <rPr>
            <b/>
            <sz val="10"/>
            <color indexed="81"/>
            <rFont val="Tahoma"/>
            <family val="2"/>
          </rPr>
          <t>960 kg pro Fuder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CB42" authorId="1" shapeId="0" xr:uid="{00000000-0006-0000-0A00-000029000000}">
      <text>
        <r>
          <rPr>
            <b/>
            <sz val="10"/>
            <color indexed="81"/>
            <rFont val="Tahoma"/>
            <family val="2"/>
          </rPr>
          <t>Berechnung der kg pro Fuder:</t>
        </r>
        <r>
          <rPr>
            <sz val="10"/>
            <color indexed="81"/>
            <rFont val="Tahoma"/>
            <family val="2"/>
          </rPr>
          <t xml:space="preserve">
Erntewagen für 4 Grosskisten (Zug):
4 Grosskosten à 300 kg = 1200 kg bei angenommer Auslastung 
von 80 % = 0.8*1200 = </t>
        </r>
        <r>
          <rPr>
            <b/>
            <sz val="10"/>
            <color indexed="81"/>
            <rFont val="Tahoma"/>
            <family val="2"/>
          </rPr>
          <t>960 kg pro Fuder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CI42" authorId="1" shapeId="0" xr:uid="{00000000-0006-0000-0A00-00002A000000}">
      <text>
        <r>
          <rPr>
            <b/>
            <sz val="10"/>
            <color indexed="81"/>
            <rFont val="Tahoma"/>
            <family val="2"/>
          </rPr>
          <t>Berechnung der kg pro Fuder:</t>
        </r>
        <r>
          <rPr>
            <sz val="10"/>
            <color indexed="81"/>
            <rFont val="Tahoma"/>
            <family val="2"/>
          </rPr>
          <t xml:space="preserve">
Erntewagen für 4 Grosskisten (Zug):
4 Grosskosten à 300 kg = 1200 kg bei angenommer Auslastung 
von 80 % = 0.8*1200 = </t>
        </r>
        <r>
          <rPr>
            <b/>
            <sz val="10"/>
            <color indexed="81"/>
            <rFont val="Tahoma"/>
            <family val="2"/>
          </rPr>
          <t>960 kg pro Fuder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CP42" authorId="1" shapeId="0" xr:uid="{00000000-0006-0000-0A00-00002B000000}">
      <text>
        <r>
          <rPr>
            <b/>
            <sz val="10"/>
            <color indexed="81"/>
            <rFont val="Tahoma"/>
            <family val="2"/>
          </rPr>
          <t>Berechnung der kg pro Fuder:</t>
        </r>
        <r>
          <rPr>
            <sz val="10"/>
            <color indexed="81"/>
            <rFont val="Tahoma"/>
            <family val="2"/>
          </rPr>
          <t xml:space="preserve">
Erntewagen für 4 Grosskisten (Zug):
4 Grosskosten à 300 kg = 1200 kg bei angenommer Auslastung 
von 80 % = 0.8*1200 = </t>
        </r>
        <r>
          <rPr>
            <b/>
            <sz val="10"/>
            <color indexed="81"/>
            <rFont val="Tahoma"/>
            <family val="2"/>
          </rPr>
          <t>960 kg pro Fuder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CW42" authorId="1" shapeId="0" xr:uid="{00000000-0006-0000-0A00-00002C000000}">
      <text>
        <r>
          <rPr>
            <b/>
            <sz val="10"/>
            <color indexed="81"/>
            <rFont val="Tahoma"/>
            <family val="2"/>
          </rPr>
          <t>Berechnung der kg pro Fuder:</t>
        </r>
        <r>
          <rPr>
            <sz val="10"/>
            <color indexed="81"/>
            <rFont val="Tahoma"/>
            <family val="2"/>
          </rPr>
          <t xml:space="preserve">
Erntewagen für 4 Grosskisten (Zug):
4 Grosskosten à 300 kg = 1200 kg bei angenommer Auslastung 
von 80 % = 0.8*1200 = </t>
        </r>
        <r>
          <rPr>
            <b/>
            <sz val="10"/>
            <color indexed="81"/>
            <rFont val="Tahoma"/>
            <family val="2"/>
          </rPr>
          <t>960 kg pro Fuder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DD42" authorId="1" shapeId="0" xr:uid="{00000000-0006-0000-0A00-00002D000000}">
      <text>
        <r>
          <rPr>
            <b/>
            <sz val="10"/>
            <color indexed="81"/>
            <rFont val="Tahoma"/>
            <family val="2"/>
          </rPr>
          <t>Berechnung der kg pro Fuder:</t>
        </r>
        <r>
          <rPr>
            <sz val="10"/>
            <color indexed="81"/>
            <rFont val="Tahoma"/>
            <family val="2"/>
          </rPr>
          <t xml:space="preserve">
Erntewagen für 4 Grosskisten (Zug):
4 Grosskosten à 300 kg = 1200 kg bei angenommer Auslastung 
von 80 % = 0.8*1200 = </t>
        </r>
        <r>
          <rPr>
            <b/>
            <sz val="10"/>
            <color indexed="81"/>
            <rFont val="Tahoma"/>
            <family val="2"/>
          </rPr>
          <t>960 kg pro Fuder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DK42" authorId="1" shapeId="0" xr:uid="{00000000-0006-0000-0A00-00002E000000}">
      <text>
        <r>
          <rPr>
            <b/>
            <sz val="10"/>
            <color indexed="81"/>
            <rFont val="Tahoma"/>
            <family val="2"/>
          </rPr>
          <t>Berechnung der kg pro Fuder:</t>
        </r>
        <r>
          <rPr>
            <sz val="10"/>
            <color indexed="81"/>
            <rFont val="Tahoma"/>
            <family val="2"/>
          </rPr>
          <t xml:space="preserve">
Erntewagen für 4 Grosskisten (Zug):
4 Grosskosten à 300 kg = 1200 kg bei angenommer Auslastung 
von 80 % = 0.8*1200 = </t>
        </r>
        <r>
          <rPr>
            <b/>
            <sz val="10"/>
            <color indexed="81"/>
            <rFont val="Tahoma"/>
            <family val="2"/>
          </rPr>
          <t>960 kg pro Fuder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DR42" authorId="1" shapeId="0" xr:uid="{00000000-0006-0000-0A00-00002F000000}">
      <text>
        <r>
          <rPr>
            <b/>
            <sz val="10"/>
            <color indexed="81"/>
            <rFont val="Tahoma"/>
            <family val="2"/>
          </rPr>
          <t>Berechnung der kg pro Fuder:</t>
        </r>
        <r>
          <rPr>
            <sz val="10"/>
            <color indexed="81"/>
            <rFont val="Tahoma"/>
            <family val="2"/>
          </rPr>
          <t xml:space="preserve">
Erntewagen für 4 Grosskisten (Zug):
4 Grosskosten à 300 kg = 1200 kg bei angenommer Auslastung 
von 80 % = 0.8*1200 = </t>
        </r>
        <r>
          <rPr>
            <b/>
            <sz val="10"/>
            <color indexed="81"/>
            <rFont val="Tahoma"/>
            <family val="2"/>
          </rPr>
          <t>960 kg pro Fuder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DY42" authorId="1" shapeId="0" xr:uid="{00000000-0006-0000-0A00-000030000000}">
      <text>
        <r>
          <rPr>
            <b/>
            <sz val="10"/>
            <color indexed="81"/>
            <rFont val="Tahoma"/>
            <family val="2"/>
          </rPr>
          <t>Berechnung der kg pro Fuder:</t>
        </r>
        <r>
          <rPr>
            <sz val="10"/>
            <color indexed="81"/>
            <rFont val="Tahoma"/>
            <family val="2"/>
          </rPr>
          <t xml:space="preserve">
Erntewagen für 4 Grosskisten (Zug):
4 Grosskosten à 300 kg = 1200 kg bei angenommer Auslastung 
von 80 % = 0.8*1200 = </t>
        </r>
        <r>
          <rPr>
            <b/>
            <sz val="10"/>
            <color indexed="81"/>
            <rFont val="Tahoma"/>
            <family val="2"/>
          </rPr>
          <t>960 kg pro Fuder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EF42" authorId="1" shapeId="0" xr:uid="{00000000-0006-0000-0A00-000031000000}">
      <text>
        <r>
          <rPr>
            <b/>
            <sz val="10"/>
            <color indexed="81"/>
            <rFont val="Tahoma"/>
            <family val="2"/>
          </rPr>
          <t>Berechnung der kg pro Fuder:</t>
        </r>
        <r>
          <rPr>
            <sz val="10"/>
            <color indexed="81"/>
            <rFont val="Tahoma"/>
            <family val="2"/>
          </rPr>
          <t xml:space="preserve">
Erntewagen für 4 Grosskisten (Zug):
4 Grosskosten à 300 kg = 1200 kg bei angenommer Auslastung 
von 80 % = 0.8*1200 = </t>
        </r>
        <r>
          <rPr>
            <b/>
            <sz val="10"/>
            <color indexed="81"/>
            <rFont val="Tahoma"/>
            <family val="2"/>
          </rPr>
          <t>960 kg pro Fuder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D46" authorId="1" shapeId="0" xr:uid="{00000000-0006-0000-0A00-000032000000}">
      <text>
        <r>
          <rPr>
            <sz val="10"/>
            <color indexed="81"/>
            <rFont val="Tahoma"/>
            <family val="2"/>
          </rPr>
          <t>Berechnung der Zugkraftstunden für Ernte:
Anzahl Fuder mal Erntezeit pro Fuder mal Auslastung der Zugkraft bei Ernte (0.25).</t>
        </r>
      </text>
    </comment>
    <comment ref="K46" authorId="1" shapeId="0" xr:uid="{00000000-0006-0000-0A00-000033000000}">
      <text>
        <r>
          <rPr>
            <sz val="10"/>
            <color indexed="81"/>
            <rFont val="Tahoma"/>
            <family val="2"/>
          </rPr>
          <t>Berechnung der Zugkraftstunden für Ernte:
Anzahl Fuder mal Erntezeit pro Fuder mal Auslastung der Zugkraft bei Ernte (0.25).</t>
        </r>
      </text>
    </comment>
    <comment ref="R46" authorId="1" shapeId="0" xr:uid="{00000000-0006-0000-0A00-000034000000}">
      <text>
        <r>
          <rPr>
            <sz val="10"/>
            <color indexed="81"/>
            <rFont val="Tahoma"/>
            <family val="2"/>
          </rPr>
          <t>Berechnung der Zugkraftstunden für Ernte:
Anzahl Fuder mal Erntezeit pro Fuder mal Auslastung der Zugkraft bei Ernte (0.25).</t>
        </r>
      </text>
    </comment>
    <comment ref="Y46" authorId="1" shapeId="0" xr:uid="{00000000-0006-0000-0A00-000035000000}">
      <text>
        <r>
          <rPr>
            <sz val="10"/>
            <color indexed="81"/>
            <rFont val="Tahoma"/>
            <family val="2"/>
          </rPr>
          <t>Berechnung der Zugkraftstunden für Ernte:
Anzahl Fuder mal Erntezeit pro Fuder mal Auslastung der Zugkraft bei Ernte (0.25).</t>
        </r>
      </text>
    </comment>
    <comment ref="AF46" authorId="1" shapeId="0" xr:uid="{00000000-0006-0000-0A00-000036000000}">
      <text>
        <r>
          <rPr>
            <sz val="10"/>
            <color indexed="81"/>
            <rFont val="Tahoma"/>
            <family val="2"/>
          </rPr>
          <t>Berechnung der Zugkraftstunden für Ernte:
Anzahl Fuder mal Erntezeit pro Fuder mal Auslastung der Zugkraft bei Ernte (0.25).</t>
        </r>
      </text>
    </comment>
    <comment ref="AM46" authorId="1" shapeId="0" xr:uid="{00000000-0006-0000-0A00-000037000000}">
      <text>
        <r>
          <rPr>
            <sz val="10"/>
            <color indexed="81"/>
            <rFont val="Tahoma"/>
            <family val="2"/>
          </rPr>
          <t>Berechnung der Zugkraftstunden für Ernte:
Anzahl Fuder mal Erntezeit pro Fuder mal Auslastung der Zugkraft bei Ernte (0.25).</t>
        </r>
      </text>
    </comment>
    <comment ref="AT46" authorId="1" shapeId="0" xr:uid="{00000000-0006-0000-0A00-000038000000}">
      <text>
        <r>
          <rPr>
            <sz val="10"/>
            <color indexed="81"/>
            <rFont val="Tahoma"/>
            <family val="2"/>
          </rPr>
          <t>Berechnung der Zugkraftstunden für Ernte:
Anzahl Fuder mal Erntezeit pro Fuder mal Auslastung der Zugkraft bei Ernte (0.25).</t>
        </r>
      </text>
    </comment>
    <comment ref="BA46" authorId="1" shapeId="0" xr:uid="{00000000-0006-0000-0A00-000039000000}">
      <text>
        <r>
          <rPr>
            <sz val="10"/>
            <color indexed="81"/>
            <rFont val="Tahoma"/>
            <family val="2"/>
          </rPr>
          <t>Berechnung der Zugkraftstunden für Ernte:
Anzahl Fuder mal Erntezeit pro Fuder mal Auslastung der Zugkraft bei Ernte (0.25).</t>
        </r>
      </text>
    </comment>
    <comment ref="BH46" authorId="1" shapeId="0" xr:uid="{00000000-0006-0000-0A00-00003A000000}">
      <text>
        <r>
          <rPr>
            <sz val="10"/>
            <color indexed="81"/>
            <rFont val="Tahoma"/>
            <family val="2"/>
          </rPr>
          <t>Berechnung der Zugkraftstunden für Ernte:
Anzahl Fuder mal Erntezeit pro Fuder mal Auslastung der Zugkraft bei Ernte (0.25).</t>
        </r>
      </text>
    </comment>
    <comment ref="BO46" authorId="1" shapeId="0" xr:uid="{00000000-0006-0000-0A00-00003B000000}">
      <text>
        <r>
          <rPr>
            <sz val="10"/>
            <color indexed="81"/>
            <rFont val="Tahoma"/>
            <family val="2"/>
          </rPr>
          <t>Berechnung der Zugkraftstunden für Ernte:
Anzahl Fuder mal Erntezeit pro Fuder mal Auslastung der Zugkraft bei Ernte (0.25).</t>
        </r>
      </text>
    </comment>
    <comment ref="BV46" authorId="1" shapeId="0" xr:uid="{00000000-0006-0000-0A00-00003C000000}">
      <text>
        <r>
          <rPr>
            <sz val="10"/>
            <color indexed="81"/>
            <rFont val="Tahoma"/>
            <family val="2"/>
          </rPr>
          <t>Berechnung der Zugkraftstunden für Ernte:
Anzahl Fuder mal Erntezeit pro Fuder mal Auslastung der Zugkraft bei Ernte (0.25).</t>
        </r>
      </text>
    </comment>
    <comment ref="CC46" authorId="1" shapeId="0" xr:uid="{00000000-0006-0000-0A00-00003D000000}">
      <text>
        <r>
          <rPr>
            <sz val="10"/>
            <color indexed="81"/>
            <rFont val="Tahoma"/>
            <family val="2"/>
          </rPr>
          <t>Berechnung der Zugkraftstunden für Ernte:
Anzahl Fuder mal Erntezeit pro Fuder mal Auslastung der Zugkraft bei Ernte (0.25).</t>
        </r>
      </text>
    </comment>
    <comment ref="CJ46" authorId="1" shapeId="0" xr:uid="{00000000-0006-0000-0A00-00003E000000}">
      <text>
        <r>
          <rPr>
            <sz val="10"/>
            <color indexed="81"/>
            <rFont val="Tahoma"/>
            <family val="2"/>
          </rPr>
          <t>Berechnung der Zugkraftstunden für Ernte:
Anzahl Fuder mal Erntezeit pro Fuder mal Auslastung der Zugkraft bei Ernte (0.25).</t>
        </r>
      </text>
    </comment>
    <comment ref="CQ46" authorId="1" shapeId="0" xr:uid="{00000000-0006-0000-0A00-00003F000000}">
      <text>
        <r>
          <rPr>
            <sz val="10"/>
            <color indexed="81"/>
            <rFont val="Tahoma"/>
            <family val="2"/>
          </rPr>
          <t>Berechnung der Zugkraftstunden für Ernte:
Anzahl Fuder mal Erntezeit pro Fuder mal Auslastung der Zugkraft bei Ernte (0.25).</t>
        </r>
      </text>
    </comment>
    <comment ref="CX46" authorId="1" shapeId="0" xr:uid="{00000000-0006-0000-0A00-000040000000}">
      <text>
        <r>
          <rPr>
            <sz val="10"/>
            <color indexed="81"/>
            <rFont val="Tahoma"/>
            <family val="2"/>
          </rPr>
          <t>Berechnung der Zugkraftstunden für Ernte:
Anzahl Fuder mal Erntezeit pro Fuder mal Auslastung der Zugkraft bei Ernte (0.25).</t>
        </r>
      </text>
    </comment>
    <comment ref="DE46" authorId="1" shapeId="0" xr:uid="{00000000-0006-0000-0A00-000041000000}">
      <text>
        <r>
          <rPr>
            <sz val="10"/>
            <color indexed="81"/>
            <rFont val="Tahoma"/>
            <family val="2"/>
          </rPr>
          <t>Berechnung der Zugkraftstunden für Ernte:
Anzahl Fuder mal Erntezeit pro Fuder mal Auslastung der Zugkraft bei Ernte (0.25).</t>
        </r>
      </text>
    </comment>
    <comment ref="DL46" authorId="1" shapeId="0" xr:uid="{00000000-0006-0000-0A00-000042000000}">
      <text>
        <r>
          <rPr>
            <sz val="10"/>
            <color indexed="81"/>
            <rFont val="Tahoma"/>
            <family val="2"/>
          </rPr>
          <t>Berechnung der Zugkraftstunden für Ernte:
Anzahl Fuder mal Erntezeit pro Fuder mal Auslastung der Zugkraft bei Ernte (0.25).</t>
        </r>
      </text>
    </comment>
    <comment ref="DS46" authorId="1" shapeId="0" xr:uid="{00000000-0006-0000-0A00-000043000000}">
      <text>
        <r>
          <rPr>
            <sz val="10"/>
            <color indexed="81"/>
            <rFont val="Tahoma"/>
            <family val="2"/>
          </rPr>
          <t>Berechnung der Zugkraftstunden für Ernte:
Anzahl Fuder mal Erntezeit pro Fuder mal Auslastung der Zugkraft bei Ernte (0.25).</t>
        </r>
      </text>
    </comment>
    <comment ref="DZ46" authorId="1" shapeId="0" xr:uid="{00000000-0006-0000-0A00-000044000000}">
      <text>
        <r>
          <rPr>
            <sz val="10"/>
            <color indexed="81"/>
            <rFont val="Tahoma"/>
            <family val="2"/>
          </rPr>
          <t>Berechnung der Zugkraftstunden für Ernte:
Anzahl Fuder mal Erntezeit pro Fuder mal Auslastung der Zugkraft bei Ernte (0.25).</t>
        </r>
      </text>
    </comment>
    <comment ref="EG46" authorId="1" shapeId="0" xr:uid="{00000000-0006-0000-0A00-000045000000}">
      <text>
        <r>
          <rPr>
            <sz val="10"/>
            <color indexed="81"/>
            <rFont val="Tahoma"/>
            <family val="2"/>
          </rPr>
          <t>Berechnung der Zugkraftstunden für Ernte:
Anzahl Fuder mal Erntezeit pro Fuder mal Auslastung der Zugkraft bei Ernte (0.25).</t>
        </r>
      </text>
    </comment>
    <comment ref="B57" authorId="2" shapeId="0" xr:uid="{00000000-0006-0000-0A00-000046000000}">
      <text>
        <r>
          <rPr>
            <b/>
            <sz val="10"/>
            <color indexed="81"/>
            <rFont val="Tahoma"/>
            <family val="2"/>
          </rPr>
          <t>zue:</t>
        </r>
        <r>
          <rPr>
            <sz val="10"/>
            <color indexed="81"/>
            <rFont val="Tahoma"/>
            <family val="2"/>
          </rPr>
          <t xml:space="preserve">
es wird davon ausgegangen, dass auch im 1.Jahr die Netze geöffnet und geschlossen werden</t>
        </r>
      </text>
    </comment>
    <comment ref="I57" authorId="2" shapeId="0" xr:uid="{00000000-0006-0000-0A00-000047000000}">
      <text>
        <r>
          <rPr>
            <b/>
            <sz val="10"/>
            <color indexed="81"/>
            <rFont val="Tahoma"/>
            <family val="2"/>
          </rPr>
          <t>zue:</t>
        </r>
        <r>
          <rPr>
            <sz val="10"/>
            <color indexed="81"/>
            <rFont val="Tahoma"/>
            <family val="2"/>
          </rPr>
          <t xml:space="preserve">
es wird davon ausgegangen, dass auch im 1.Jahr die Netze geöffnet und geschlossen werden</t>
        </r>
      </text>
    </comment>
    <comment ref="P57" authorId="2" shapeId="0" xr:uid="{00000000-0006-0000-0A00-000048000000}">
      <text>
        <r>
          <rPr>
            <b/>
            <sz val="10"/>
            <color indexed="81"/>
            <rFont val="Tahoma"/>
            <family val="2"/>
          </rPr>
          <t>zue:</t>
        </r>
        <r>
          <rPr>
            <sz val="10"/>
            <color indexed="81"/>
            <rFont val="Tahoma"/>
            <family val="2"/>
          </rPr>
          <t xml:space="preserve">
es wird davon ausgegangen, dass auch im 1.Jahr die Netze geöffnet und geschlossen werden</t>
        </r>
      </text>
    </comment>
    <comment ref="W57" authorId="2" shapeId="0" xr:uid="{00000000-0006-0000-0A00-000049000000}">
      <text>
        <r>
          <rPr>
            <b/>
            <sz val="10"/>
            <color indexed="81"/>
            <rFont val="Tahoma"/>
            <family val="2"/>
          </rPr>
          <t>zue:</t>
        </r>
        <r>
          <rPr>
            <sz val="10"/>
            <color indexed="81"/>
            <rFont val="Tahoma"/>
            <family val="2"/>
          </rPr>
          <t xml:space="preserve">
es wird davon ausgegangen, dass auch im 1.Jahr die Netze geöffnet und geschlossen werden</t>
        </r>
      </text>
    </comment>
    <comment ref="AD57" authorId="2" shapeId="0" xr:uid="{00000000-0006-0000-0A00-00004A000000}">
      <text>
        <r>
          <rPr>
            <b/>
            <sz val="10"/>
            <color indexed="81"/>
            <rFont val="Tahoma"/>
            <family val="2"/>
          </rPr>
          <t>zue:</t>
        </r>
        <r>
          <rPr>
            <sz val="10"/>
            <color indexed="81"/>
            <rFont val="Tahoma"/>
            <family val="2"/>
          </rPr>
          <t xml:space="preserve">
es wird davon ausgegangen, dass auch im 1.Jahr die Netze geöffnet und geschlossen werden</t>
        </r>
      </text>
    </comment>
    <comment ref="AK57" authorId="2" shapeId="0" xr:uid="{00000000-0006-0000-0A00-00004B000000}">
      <text>
        <r>
          <rPr>
            <b/>
            <sz val="10"/>
            <color indexed="81"/>
            <rFont val="Tahoma"/>
            <family val="2"/>
          </rPr>
          <t>zue:</t>
        </r>
        <r>
          <rPr>
            <sz val="10"/>
            <color indexed="81"/>
            <rFont val="Tahoma"/>
            <family val="2"/>
          </rPr>
          <t xml:space="preserve">
es wird davon ausgegangen, dass auch im 1.Jahr die Netze geöffnet und geschlossen werden</t>
        </r>
      </text>
    </comment>
    <comment ref="AR57" authorId="2" shapeId="0" xr:uid="{00000000-0006-0000-0A00-00004C000000}">
      <text>
        <r>
          <rPr>
            <b/>
            <sz val="10"/>
            <color indexed="81"/>
            <rFont val="Tahoma"/>
            <family val="2"/>
          </rPr>
          <t>zue:</t>
        </r>
        <r>
          <rPr>
            <sz val="10"/>
            <color indexed="81"/>
            <rFont val="Tahoma"/>
            <family val="2"/>
          </rPr>
          <t xml:space="preserve">
es wird davon ausgegangen, dass auch im 1.Jahr die Netze geöffnet und geschlossen werden</t>
        </r>
      </text>
    </comment>
    <comment ref="AY57" authorId="2" shapeId="0" xr:uid="{00000000-0006-0000-0A00-00004D000000}">
      <text>
        <r>
          <rPr>
            <b/>
            <sz val="10"/>
            <color indexed="81"/>
            <rFont val="Tahoma"/>
            <family val="2"/>
          </rPr>
          <t>zue:</t>
        </r>
        <r>
          <rPr>
            <sz val="10"/>
            <color indexed="81"/>
            <rFont val="Tahoma"/>
            <family val="2"/>
          </rPr>
          <t xml:space="preserve">
es wird davon ausgegangen, dass auch im 1.Jahr die Netze geöffnet und geschlossen werden</t>
        </r>
      </text>
    </comment>
    <comment ref="BF57" authorId="2" shapeId="0" xr:uid="{00000000-0006-0000-0A00-00004E000000}">
      <text>
        <r>
          <rPr>
            <b/>
            <sz val="10"/>
            <color indexed="81"/>
            <rFont val="Tahoma"/>
            <family val="2"/>
          </rPr>
          <t>zue:</t>
        </r>
        <r>
          <rPr>
            <sz val="10"/>
            <color indexed="81"/>
            <rFont val="Tahoma"/>
            <family val="2"/>
          </rPr>
          <t xml:space="preserve">
es wird davon ausgegangen, dass auch im 1.Jahr die Netze geöffnet und geschlossen werden</t>
        </r>
      </text>
    </comment>
    <comment ref="BM57" authorId="2" shapeId="0" xr:uid="{00000000-0006-0000-0A00-00004F000000}">
      <text>
        <r>
          <rPr>
            <b/>
            <sz val="10"/>
            <color indexed="81"/>
            <rFont val="Tahoma"/>
            <family val="2"/>
          </rPr>
          <t>zue:</t>
        </r>
        <r>
          <rPr>
            <sz val="10"/>
            <color indexed="81"/>
            <rFont val="Tahoma"/>
            <family val="2"/>
          </rPr>
          <t xml:space="preserve">
es wird davon ausgegangen, dass auch im 1.Jahr die Netze geöffnet und geschlossen werden</t>
        </r>
      </text>
    </comment>
    <comment ref="BT57" authorId="2" shapeId="0" xr:uid="{00000000-0006-0000-0A00-000050000000}">
      <text>
        <r>
          <rPr>
            <b/>
            <sz val="10"/>
            <color indexed="81"/>
            <rFont val="Tahoma"/>
            <family val="2"/>
          </rPr>
          <t>zue:</t>
        </r>
        <r>
          <rPr>
            <sz val="10"/>
            <color indexed="81"/>
            <rFont val="Tahoma"/>
            <family val="2"/>
          </rPr>
          <t xml:space="preserve">
es wird davon ausgegangen, dass auch im 1.Jahr die Netze geöffnet und geschlossen werden</t>
        </r>
      </text>
    </comment>
    <comment ref="CA57" authorId="2" shapeId="0" xr:uid="{00000000-0006-0000-0A00-000051000000}">
      <text>
        <r>
          <rPr>
            <b/>
            <sz val="10"/>
            <color indexed="81"/>
            <rFont val="Tahoma"/>
            <family val="2"/>
          </rPr>
          <t>zue:</t>
        </r>
        <r>
          <rPr>
            <sz val="10"/>
            <color indexed="81"/>
            <rFont val="Tahoma"/>
            <family val="2"/>
          </rPr>
          <t xml:space="preserve">
es wird davon ausgegangen, dass auch im 1.Jahr die Netze geöffnet und geschlossen werden</t>
        </r>
      </text>
    </comment>
    <comment ref="CH57" authorId="2" shapeId="0" xr:uid="{00000000-0006-0000-0A00-000052000000}">
      <text>
        <r>
          <rPr>
            <b/>
            <sz val="10"/>
            <color indexed="81"/>
            <rFont val="Tahoma"/>
            <family val="2"/>
          </rPr>
          <t>zue:</t>
        </r>
        <r>
          <rPr>
            <sz val="10"/>
            <color indexed="81"/>
            <rFont val="Tahoma"/>
            <family val="2"/>
          </rPr>
          <t xml:space="preserve">
es wird davon ausgegangen, dass auch im 1.Jahr die Netze geöffnet und geschlossen werden</t>
        </r>
      </text>
    </comment>
    <comment ref="CO57" authorId="2" shapeId="0" xr:uid="{00000000-0006-0000-0A00-000053000000}">
      <text>
        <r>
          <rPr>
            <b/>
            <sz val="10"/>
            <color indexed="81"/>
            <rFont val="Tahoma"/>
            <family val="2"/>
          </rPr>
          <t>zue:</t>
        </r>
        <r>
          <rPr>
            <sz val="10"/>
            <color indexed="81"/>
            <rFont val="Tahoma"/>
            <family val="2"/>
          </rPr>
          <t xml:space="preserve">
es wird davon ausgegangen, dass auch im 1.Jahr die Netze geöffnet und geschlossen werden</t>
        </r>
      </text>
    </comment>
    <comment ref="CV57" authorId="2" shapeId="0" xr:uid="{00000000-0006-0000-0A00-000054000000}">
      <text>
        <r>
          <rPr>
            <b/>
            <sz val="10"/>
            <color indexed="81"/>
            <rFont val="Tahoma"/>
            <family val="2"/>
          </rPr>
          <t>zue:</t>
        </r>
        <r>
          <rPr>
            <sz val="10"/>
            <color indexed="81"/>
            <rFont val="Tahoma"/>
            <family val="2"/>
          </rPr>
          <t xml:space="preserve">
es wird davon ausgegangen, dass auch im 1.Jahr die Netze geöffnet und geschlossen werden</t>
        </r>
      </text>
    </comment>
    <comment ref="DC57" authorId="2" shapeId="0" xr:uid="{00000000-0006-0000-0A00-000055000000}">
      <text>
        <r>
          <rPr>
            <b/>
            <sz val="10"/>
            <color indexed="81"/>
            <rFont val="Tahoma"/>
            <family val="2"/>
          </rPr>
          <t>zue:</t>
        </r>
        <r>
          <rPr>
            <sz val="10"/>
            <color indexed="81"/>
            <rFont val="Tahoma"/>
            <family val="2"/>
          </rPr>
          <t xml:space="preserve">
es wird davon ausgegangen, dass auch im 1.Jahr die Netze geöffnet und geschlossen werden</t>
        </r>
      </text>
    </comment>
    <comment ref="DJ57" authorId="2" shapeId="0" xr:uid="{00000000-0006-0000-0A00-000056000000}">
      <text>
        <r>
          <rPr>
            <b/>
            <sz val="10"/>
            <color indexed="81"/>
            <rFont val="Tahoma"/>
            <family val="2"/>
          </rPr>
          <t>zue:</t>
        </r>
        <r>
          <rPr>
            <sz val="10"/>
            <color indexed="81"/>
            <rFont val="Tahoma"/>
            <family val="2"/>
          </rPr>
          <t xml:space="preserve">
es wird davon ausgegangen, dass auch im 1.Jahr die Netze geöffnet und geschlossen werden</t>
        </r>
      </text>
    </comment>
    <comment ref="DQ57" authorId="2" shapeId="0" xr:uid="{00000000-0006-0000-0A00-000057000000}">
      <text>
        <r>
          <rPr>
            <b/>
            <sz val="10"/>
            <color indexed="81"/>
            <rFont val="Tahoma"/>
            <family val="2"/>
          </rPr>
          <t>zue:</t>
        </r>
        <r>
          <rPr>
            <sz val="10"/>
            <color indexed="81"/>
            <rFont val="Tahoma"/>
            <family val="2"/>
          </rPr>
          <t xml:space="preserve">
es wird davon ausgegangen, dass auch im 1.Jahr die Netze geöffnet und geschlossen werden</t>
        </r>
      </text>
    </comment>
    <comment ref="DX57" authorId="2" shapeId="0" xr:uid="{00000000-0006-0000-0A00-000058000000}">
      <text>
        <r>
          <rPr>
            <b/>
            <sz val="10"/>
            <color indexed="81"/>
            <rFont val="Tahoma"/>
            <family val="2"/>
          </rPr>
          <t>zue:</t>
        </r>
        <r>
          <rPr>
            <sz val="10"/>
            <color indexed="81"/>
            <rFont val="Tahoma"/>
            <family val="2"/>
          </rPr>
          <t xml:space="preserve">
es wird davon ausgegangen, dass auch im 1.Jahr die Netze geöffnet und geschlossen werden</t>
        </r>
      </text>
    </comment>
    <comment ref="EE57" authorId="2" shapeId="0" xr:uid="{00000000-0006-0000-0A00-000059000000}">
      <text>
        <r>
          <rPr>
            <b/>
            <sz val="10"/>
            <color indexed="81"/>
            <rFont val="Tahoma"/>
            <family val="2"/>
          </rPr>
          <t>zue:</t>
        </r>
        <r>
          <rPr>
            <sz val="10"/>
            <color indexed="81"/>
            <rFont val="Tahoma"/>
            <family val="2"/>
          </rPr>
          <t xml:space="preserve">
es wird davon ausgegangen, dass auch im 1.Jahr die Netze geöffnet und geschlossen werden</t>
        </r>
      </text>
    </comment>
    <comment ref="EE73" authorId="1" shapeId="0" xr:uid="{00000000-0006-0000-0A00-00005A000000}">
      <text>
        <r>
          <rPr>
            <b/>
            <sz val="8"/>
            <color indexed="81"/>
            <rFont val="Tahoma"/>
            <family val="2"/>
          </rPr>
          <t>P. Mouron:</t>
        </r>
        <r>
          <rPr>
            <sz val="8"/>
            <color indexed="81"/>
            <rFont val="Tahoma"/>
            <family val="2"/>
          </rPr>
          <t xml:space="preserve">
Rodungskosten fallen im letzten Jahr an.
</t>
        </r>
      </text>
    </comment>
  </commentList>
</comments>
</file>

<file path=xl/sharedStrings.xml><?xml version="1.0" encoding="utf-8"?>
<sst xmlns="http://schemas.openxmlformats.org/spreadsheetml/2006/main" count="3761" uniqueCount="614">
  <si>
    <t>Länge</t>
  </si>
  <si>
    <t>Breite</t>
  </si>
  <si>
    <t>berechnet</t>
  </si>
  <si>
    <t>Spindel</t>
  </si>
  <si>
    <t>Gassenbreite</t>
  </si>
  <si>
    <t>Baumabstand</t>
  </si>
  <si>
    <t>Anzahl Reihen</t>
  </si>
  <si>
    <t>Bäume pro ha</t>
  </si>
  <si>
    <t>Pflanzgut</t>
  </si>
  <si>
    <t>Baumpreis</t>
  </si>
  <si>
    <t>Zinssatz</t>
  </si>
  <si>
    <t>Anzahl</t>
  </si>
  <si>
    <t>Stückpreis</t>
  </si>
  <si>
    <t>Kosten</t>
  </si>
  <si>
    <t>Einzäunung</t>
  </si>
  <si>
    <t>Tore</t>
  </si>
  <si>
    <t>Kant. Beitrag (Gemeinde, Jagdkasse)</t>
  </si>
  <si>
    <t>Verschiedenes</t>
  </si>
  <si>
    <t>Bodenanalyse</t>
  </si>
  <si>
    <t xml:space="preserve">Total direkte Kosten </t>
  </si>
  <si>
    <t>Zkh/ha</t>
  </si>
  <si>
    <t>Fr./h</t>
  </si>
  <si>
    <t>Fr./ha</t>
  </si>
  <si>
    <t>Maschinen</t>
  </si>
  <si>
    <t>Zugkraft</t>
  </si>
  <si>
    <t>Kleingeräte</t>
  </si>
  <si>
    <t>Total Maschinen und Zugkraftkosten</t>
  </si>
  <si>
    <t>Akh/ha</t>
  </si>
  <si>
    <t>Arbeit</t>
  </si>
  <si>
    <t>Düngung</t>
  </si>
  <si>
    <t>Bodenprobe</t>
  </si>
  <si>
    <t>Ausmessen</t>
  </si>
  <si>
    <t>Pflanzung inkl. Anbinden</t>
  </si>
  <si>
    <t>Einzäunung erstellen</t>
  </si>
  <si>
    <t>Einsaat</t>
  </si>
  <si>
    <t>Total Strukturkosten</t>
  </si>
  <si>
    <t>kg / ha</t>
  </si>
  <si>
    <t>kg / B.</t>
  </si>
  <si>
    <t>System: Äpfel  Spindel 1-reihig</t>
  </si>
  <si>
    <t>1. Standjahr</t>
  </si>
  <si>
    <t>2. Standjahr</t>
  </si>
  <si>
    <t>3. Standjahr</t>
  </si>
  <si>
    <t>4. Standjahr</t>
  </si>
  <si>
    <t>5. Standjahr</t>
  </si>
  <si>
    <t>6. Standjahr</t>
  </si>
  <si>
    <t>7. Standjahr</t>
  </si>
  <si>
    <t>8. Standjahr</t>
  </si>
  <si>
    <t>9. Standjahr</t>
  </si>
  <si>
    <t>10. Standjahr</t>
  </si>
  <si>
    <t>11. Standjahr</t>
  </si>
  <si>
    <t>12. Standjahr</t>
  </si>
  <si>
    <t>13. Standjahr</t>
  </si>
  <si>
    <t>14. Standjahr</t>
  </si>
  <si>
    <t>15. Standjahr</t>
  </si>
  <si>
    <t>kg/B.</t>
  </si>
  <si>
    <t>kg/ha</t>
  </si>
  <si>
    <t>Preis pro Einh.</t>
  </si>
  <si>
    <t>Rohertrag</t>
  </si>
  <si>
    <t>%</t>
  </si>
  <si>
    <t>pro 100 kg</t>
  </si>
  <si>
    <t>Fläche</t>
  </si>
  <si>
    <t>Fr./h, Fr./ha</t>
  </si>
  <si>
    <t>Schnittholzhacker</t>
  </si>
  <si>
    <t>kg/h</t>
  </si>
  <si>
    <t>Arbeiten</t>
  </si>
  <si>
    <t>für Boden</t>
  </si>
  <si>
    <t>Zeitwert</t>
  </si>
  <si>
    <t xml:space="preserve">Zins </t>
  </si>
  <si>
    <t>Produktionskosten ohne Arbeitskosten</t>
  </si>
  <si>
    <t>Anteil PK</t>
  </si>
  <si>
    <t>Standard</t>
  </si>
  <si>
    <t>kg/Baum</t>
  </si>
  <si>
    <t>Erstellungsjahr</t>
  </si>
  <si>
    <t>1. Sandjahr</t>
  </si>
  <si>
    <t>Aufbauphase</t>
  </si>
  <si>
    <t>Unter den gewählten Vorgaben ergeben sich folgende Kenngrössen aus der Kapitalflussrechnung:</t>
  </si>
  <si>
    <t>Arbeitseinkommen / Akh</t>
  </si>
  <si>
    <t>Akh / ha</t>
  </si>
  <si>
    <t>h</t>
  </si>
  <si>
    <t>Total Standdauer</t>
  </si>
  <si>
    <t>Ertragsphase</t>
  </si>
  <si>
    <t>mit Direktzahlungen</t>
  </si>
  <si>
    <t>durchschnittlich über alle Klassen:</t>
  </si>
  <si>
    <r>
      <t xml:space="preserve">Direktzahlungen </t>
    </r>
    <r>
      <rPr>
        <sz val="10"/>
        <rFont val="Arial"/>
        <family val="2"/>
      </rPr>
      <t>ÖLN</t>
    </r>
  </si>
  <si>
    <t>Gebindekosten</t>
  </si>
  <si>
    <t xml:space="preserve">Lohnkosten brutto    </t>
  </si>
  <si>
    <t>Total</t>
  </si>
  <si>
    <t>Arbeitseinkommen  intern pro Akh</t>
  </si>
  <si>
    <t xml:space="preserve">                                                        Akh extern total</t>
  </si>
  <si>
    <t>Erstellung</t>
  </si>
  <si>
    <t>Sämaschine 3 m</t>
  </si>
  <si>
    <t>Düngerstreuer Einkasten 2.5 m</t>
  </si>
  <si>
    <t>Pneuwagen 2achsig, 3 t</t>
  </si>
  <si>
    <t>Bewirtschaftung Obstanlage</t>
  </si>
  <si>
    <t xml:space="preserve">Knotengitter </t>
  </si>
  <si>
    <t>Agraffen</t>
  </si>
  <si>
    <t>Total Zaunkosten</t>
  </si>
  <si>
    <t>Totale Erstellungskosten mit Zaun</t>
  </si>
  <si>
    <t>Diverses Material und Kleingeräte</t>
  </si>
  <si>
    <t>Verwaltung + übrige Arbeiten</t>
  </si>
  <si>
    <t>Mulchen und Schnittholz hacken</t>
  </si>
  <si>
    <t>Speziell für Erstellung</t>
  </si>
  <si>
    <t>Mulchgerät mit beids. Schwenkarm</t>
  </si>
  <si>
    <t>Maschinen und Geräte</t>
  </si>
  <si>
    <t>Dünger</t>
  </si>
  <si>
    <t>1. Stj.</t>
  </si>
  <si>
    <t>2. Stj.</t>
  </si>
  <si>
    <t>3. Stj.</t>
  </si>
  <si>
    <t>Pflanzenbehandlungsmittel</t>
  </si>
  <si>
    <t>Geräte</t>
  </si>
  <si>
    <t>hier gewählt</t>
  </si>
  <si>
    <t>Zkh/Durchgang</t>
  </si>
  <si>
    <t>Fr./Durchgang</t>
  </si>
  <si>
    <t>Total Gerätestunden</t>
  </si>
  <si>
    <t>Traktor für Ernte</t>
  </si>
  <si>
    <t xml:space="preserve">Variante </t>
  </si>
  <si>
    <t>intern (Familie)</t>
  </si>
  <si>
    <t>+/-</t>
  </si>
  <si>
    <t xml:space="preserve"> +/-</t>
  </si>
  <si>
    <t>fixe Kosten</t>
  </si>
  <si>
    <t>variable Kosten</t>
  </si>
  <si>
    <t>Fr/ha</t>
  </si>
  <si>
    <t>variable Kosten Maschinen und Geräte</t>
  </si>
  <si>
    <t>Kalkulierte Produktionskosten</t>
  </si>
  <si>
    <t>Arbeitseinkommen (Gesamterlös - Prod.ko ohne Arbeitskosten)</t>
  </si>
  <si>
    <t>Betriebsminimum</t>
  </si>
  <si>
    <t>Dünger + PBM + Hagelversicherung +Abzüge+var.Maschinenkosten + Lohnkosten</t>
  </si>
  <si>
    <t>Baumpreis inkl. Lizenz</t>
  </si>
  <si>
    <t>externe Arbeitskräfte</t>
  </si>
  <si>
    <t>Bäume / ha</t>
  </si>
  <si>
    <t>Systembeschreibung</t>
  </si>
  <si>
    <r>
      <t>Rodekosten</t>
    </r>
    <r>
      <rPr>
        <sz val="10"/>
        <rFont val="Arial"/>
        <family val="2"/>
      </rPr>
      <t xml:space="preserve"> (Arbeit + Maschinen)</t>
    </r>
  </si>
  <si>
    <t>Obstart</t>
  </si>
  <si>
    <t>Produktionsweise</t>
  </si>
  <si>
    <t>Erziehungsform</t>
  </si>
  <si>
    <t>Geometrische Daten</t>
  </si>
  <si>
    <t>Verwaltung+übrige Arbeiten</t>
  </si>
  <si>
    <t>Pflanzenschutzkontrolle</t>
  </si>
  <si>
    <t>Mausen</t>
  </si>
  <si>
    <t>Akh</t>
  </si>
  <si>
    <t>Verwaltung</t>
  </si>
  <si>
    <t>übrige Arbeiten</t>
  </si>
  <si>
    <t xml:space="preserve">2. Stj. </t>
  </si>
  <si>
    <t>wie Ertragsphase</t>
  </si>
  <si>
    <t>Rodungskosten</t>
  </si>
  <si>
    <t>Arbeitsproduktivität</t>
  </si>
  <si>
    <t>Gesamterlös pro Akh</t>
  </si>
  <si>
    <t>Rentabilität</t>
  </si>
  <si>
    <t>Qualität und Ernteleistung</t>
  </si>
  <si>
    <t xml:space="preserve">Preise und Erträge  </t>
  </si>
  <si>
    <t>Standjahr</t>
  </si>
  <si>
    <t>pro ha</t>
  </si>
  <si>
    <t>l,kg pro ha</t>
  </si>
  <si>
    <t>Anzahl Fahrten</t>
  </si>
  <si>
    <t>Diverse Kleingeräte</t>
  </si>
  <si>
    <t>Baumerziehung (Sommer+Winter)</t>
  </si>
  <si>
    <t>Zins für Boden</t>
  </si>
  <si>
    <t>Baumgerüst</t>
  </si>
  <si>
    <t>Diverses (z.B. Telefon, Transport, Bindematerial)</t>
  </si>
  <si>
    <t>Fr./h Fahrt</t>
  </si>
  <si>
    <t>Baumpfahl stellen</t>
  </si>
  <si>
    <t xml:space="preserve"> Akh gesamt pro ha </t>
  </si>
  <si>
    <t xml:space="preserve"> Akh  intern</t>
  </si>
  <si>
    <t>Faktor für mittleren Zins</t>
  </si>
  <si>
    <t>Pflanzenschutz inkl. Kontrolle und Mausen</t>
  </si>
  <si>
    <t>ZA = Kapitalkosten</t>
  </si>
  <si>
    <t xml:space="preserve">PK ohne ZA </t>
  </si>
  <si>
    <t>Gewinn ohne ZA</t>
  </si>
  <si>
    <t>3. Stj. und folgende</t>
  </si>
  <si>
    <t>Annahme: alles eigene Maschinen: fixe Kosten + var. Kosten = Mietansätze - 10 %</t>
  </si>
  <si>
    <t>Stapler</t>
  </si>
  <si>
    <r>
      <t>Total Erstellungskosten</t>
    </r>
    <r>
      <rPr>
        <sz val="12"/>
        <color indexed="9"/>
        <rFont val="Arial"/>
        <family val="2"/>
      </rPr>
      <t xml:space="preserve"> Anlage ohne Zaun</t>
    </r>
  </si>
  <si>
    <t>für aktuelle Investition</t>
  </si>
  <si>
    <t>Gesamterlös</t>
  </si>
  <si>
    <t>Standard 1ha</t>
  </si>
  <si>
    <t>1ha</t>
  </si>
  <si>
    <r>
      <t>Vollkosten</t>
    </r>
    <r>
      <rPr>
        <b/>
        <sz val="12"/>
        <color indexed="9"/>
        <rFont val="Arial"/>
        <family val="2"/>
      </rPr>
      <t xml:space="preserve"> für 1 durchschnittliches Ertragsjahr</t>
    </r>
  </si>
  <si>
    <t>Definition Standard:</t>
  </si>
  <si>
    <t>Fr./kg</t>
  </si>
  <si>
    <t>Brutto</t>
  </si>
  <si>
    <t>Netto</t>
  </si>
  <si>
    <t>Wendezone</t>
  </si>
  <si>
    <t>Sorte und Unterlage</t>
  </si>
  <si>
    <t>Endpfähle 3.0 m</t>
  </si>
  <si>
    <r>
      <t xml:space="preserve">Zwischenpfähle </t>
    </r>
    <r>
      <rPr>
        <sz val="9"/>
        <rFont val="Arial"/>
        <family val="2"/>
      </rPr>
      <t>Distanz 7 m</t>
    </r>
  </si>
  <si>
    <t>kleiner Baumpfahl je B.</t>
  </si>
  <si>
    <t>Telleranker</t>
  </si>
  <si>
    <t xml:space="preserve">Spanndraht 3 mm </t>
  </si>
  <si>
    <t xml:space="preserve">Agraffen </t>
  </si>
  <si>
    <t>Klemmfix</t>
  </si>
  <si>
    <t>Pflug 2scharig</t>
  </si>
  <si>
    <t>Pneuwagen</t>
  </si>
  <si>
    <t>Pflügen</t>
  </si>
  <si>
    <t>Eggen</t>
  </si>
  <si>
    <t>Sortierkategorien</t>
  </si>
  <si>
    <t>Behangsregulierung (von Hand)</t>
  </si>
  <si>
    <t>Deckungsgrad</t>
  </si>
  <si>
    <t>Fr./Jahr</t>
  </si>
  <si>
    <t>Ersatzmaterial</t>
  </si>
  <si>
    <t>Büromaterial</t>
  </si>
  <si>
    <t>Diverse Kosten</t>
  </si>
  <si>
    <t>Anteil externe Akh für Ernte und Ausdünnen</t>
  </si>
  <si>
    <t>kg Tafelfrüchte pro Arbeitskraftstunde</t>
  </si>
  <si>
    <t>siehe unten: geometrische Daten</t>
  </si>
  <si>
    <t>Lieferort:</t>
  </si>
  <si>
    <t>Genossenschaft, Grosshandel</t>
  </si>
  <si>
    <t>Abschreibungsdauer</t>
  </si>
  <si>
    <t>Gebäude</t>
  </si>
  <si>
    <t>Sortierraum</t>
  </si>
  <si>
    <t>Fr./m²</t>
  </si>
  <si>
    <t>m2 / Jahr</t>
  </si>
  <si>
    <t>Materiallager (für PBM, Dünger, Gebinde, Ersatzmaterial, usw.)</t>
  </si>
  <si>
    <t>Quelle: FAW Flugschrift Nr. 61</t>
  </si>
  <si>
    <t>Gliederung nach Kostenarten</t>
  </si>
  <si>
    <t>Sachkosten</t>
  </si>
  <si>
    <t>Arbeitskosten</t>
  </si>
  <si>
    <t>Kapitalkosten</t>
  </si>
  <si>
    <t>Anteil an PK</t>
  </si>
  <si>
    <t>Gliederung nach buchhalterischer Konvention</t>
  </si>
  <si>
    <t>Kostengliederung</t>
  </si>
  <si>
    <t>übrige Kosten (aus Posten mit &lt; 10%)</t>
  </si>
  <si>
    <t>übrige Arbeiten (aus Posten &lt; 10%)</t>
  </si>
  <si>
    <t xml:space="preserve">für Investition Obstanlage </t>
  </si>
  <si>
    <t xml:space="preserve">Abschreibung Obstanlage </t>
  </si>
  <si>
    <t>Gliederung nach Sachkosten</t>
  </si>
  <si>
    <t>Gliederung Arbeitskosten (alle Arbeiten)</t>
  </si>
  <si>
    <t>Gliederung Arbeitskosten (&gt; 10%)</t>
  </si>
  <si>
    <t>Klasse I</t>
  </si>
  <si>
    <t>Klasse II</t>
  </si>
  <si>
    <t>Summe Aufbauphase</t>
  </si>
  <si>
    <t>Summe ganze Standdauer</t>
  </si>
  <si>
    <t>Durchschnitt Ertragsphase</t>
  </si>
  <si>
    <t>Durchschnitt ganze Standdauer</t>
  </si>
  <si>
    <t>Erntewagen 4 Grosskisten</t>
  </si>
  <si>
    <t>Auslastung bei Ernte</t>
  </si>
  <si>
    <t>plus chemisch</t>
  </si>
  <si>
    <t>Sortierkosten</t>
  </si>
  <si>
    <t>Klasse I+II</t>
  </si>
  <si>
    <t>Fixe Installationen</t>
  </si>
  <si>
    <t>(1 Standardarbeitskraft = 2800 Akh/Jahr; S. 153 BW-Begriffe, FAT 2000)</t>
  </si>
  <si>
    <t>Theoretische SOLL Fläche</t>
  </si>
  <si>
    <t>Variante 1ha</t>
  </si>
  <si>
    <t>Definition Variante:</t>
  </si>
  <si>
    <t>Variante</t>
  </si>
  <si>
    <t>(1 Variantearbeitskraft = 2800 Akh/Jahr; S. 153 BW-Begriffe, FAT 2000)</t>
  </si>
  <si>
    <t>Abgang</t>
  </si>
  <si>
    <t>Mostobst ab Boden</t>
  </si>
  <si>
    <t>Ernte baumfallend</t>
  </si>
  <si>
    <t>Mostobst Sortierabgang</t>
  </si>
  <si>
    <t>Mostobst total</t>
  </si>
  <si>
    <t>Ernte ab Baum</t>
  </si>
  <si>
    <t xml:space="preserve"> Produktionskosten Klasse II</t>
  </si>
  <si>
    <t xml:space="preserve">Eigenkapitalsrente (kalk. Gewinn + Zinsanspruch) pro investiertem Kapital </t>
  </si>
  <si>
    <t>Vergleichbarer Deckungsbeitrag</t>
  </si>
  <si>
    <t>ohne Direktzahlungen</t>
  </si>
  <si>
    <t xml:space="preserve">Total Direktkosten </t>
  </si>
  <si>
    <t>Total Direktkosten</t>
  </si>
  <si>
    <t>Leistung</t>
  </si>
  <si>
    <t>Arbeitseinkommen (Leistung - Prod.ko ohne Arbeitskosten)</t>
  </si>
  <si>
    <r>
      <t xml:space="preserve">Ertrag </t>
    </r>
    <r>
      <rPr>
        <sz val="10"/>
        <rFont val="Arial"/>
        <family val="2"/>
      </rPr>
      <t>[kg]</t>
    </r>
    <r>
      <rPr>
        <b/>
        <sz val="10"/>
        <rFont val="Arial"/>
        <family val="2"/>
      </rPr>
      <t>, Erlös</t>
    </r>
    <r>
      <rPr>
        <sz val="10"/>
        <rFont val="Arial"/>
        <family val="2"/>
      </rPr>
      <t xml:space="preserve"> [Fr.]</t>
    </r>
  </si>
  <si>
    <t>Produktionskosten</t>
  </si>
  <si>
    <t>Produktionskosten pro ha</t>
  </si>
  <si>
    <t>Produktionskosten pro kg</t>
  </si>
  <si>
    <t>Arbeitseinkommen durchschnittlich pro Akh</t>
  </si>
  <si>
    <t>Cashflow</t>
  </si>
  <si>
    <t>Gesamt-Cashflow nach 1. Stj.</t>
  </si>
  <si>
    <t>Gesamt-Cashflow nach 2. Stj.</t>
  </si>
  <si>
    <t>Gesamt-Cashflow nach 3. Stj.</t>
  </si>
  <si>
    <t>Gesamt-Cashflow nach 4. Stj.</t>
  </si>
  <si>
    <t>Gesamt-Cashflow nach 5. Stj.</t>
  </si>
  <si>
    <t>Gesamt-Cashflow nach 6. Stj.</t>
  </si>
  <si>
    <t>Gesamt-Cashflow nach 7. Stj.</t>
  </si>
  <si>
    <t>Gesamt-Cashflow nach 8. Stj.</t>
  </si>
  <si>
    <t>Gesamt-Cashflow nach 9. Stj.</t>
  </si>
  <si>
    <t>Gesamt-Cashflow nach 10. Stj.</t>
  </si>
  <si>
    <t>Gesamt-Cashflow nach 11. Stj.</t>
  </si>
  <si>
    <t>Gesamt-Cashflow nach 12. Stj.</t>
  </si>
  <si>
    <t>Gesamt-Cashflow nach 13. Stj.</t>
  </si>
  <si>
    <t>Gesamt-Cashflow nach 14. Stj.</t>
  </si>
  <si>
    <t>Gesamt-Cashflow nach 15. Stj.</t>
  </si>
  <si>
    <t>Produktionskosten ohne Abschreibung 2. Stj.</t>
  </si>
  <si>
    <t>Produktionskosten ohne Abschreibung 3. Stj.</t>
  </si>
  <si>
    <t>Produktionskosten ohne Abschreibung 4. Stj.</t>
  </si>
  <si>
    <t>Produktionskosten ohne Abschreibung 5. Stj.</t>
  </si>
  <si>
    <t>Produktionskosten ohne Abschreibung 6. Stj.</t>
  </si>
  <si>
    <t>Produktionskosten ohne Abschreibung 7. Stj.</t>
  </si>
  <si>
    <t>Produktionskosten ohne Abschreibung 8. Stj.</t>
  </si>
  <si>
    <t>Produktionskosten ohne Abschreibung 9. Stj.</t>
  </si>
  <si>
    <t>Produktionskosten ohne Abschreibung 10. Stj.</t>
  </si>
  <si>
    <t>Produktionskosten ohne Abschreibung 11. Stj.</t>
  </si>
  <si>
    <t>Produktionskosten ohne Abschreibung 12. Stj.</t>
  </si>
  <si>
    <t>Produktionskosten ohne Abschreibung 13. Stj.</t>
  </si>
  <si>
    <t>Produktionskosten ohne Abschreibung 14. Stj.</t>
  </si>
  <si>
    <t>Produktionskosten ohne Abschreibung 15. Stj.</t>
  </si>
  <si>
    <t>Produktionskosten ohne Abschreibung 1. Stj.</t>
  </si>
  <si>
    <t>Erlös Kl. I</t>
  </si>
  <si>
    <t>Erlös Kl. II</t>
  </si>
  <si>
    <t>Erlös Mostobst</t>
  </si>
  <si>
    <t>Direktzahlungen</t>
  </si>
  <si>
    <t>Produktionskosten      Klasse I</t>
  </si>
  <si>
    <t>Abschreibung Obstanlage</t>
  </si>
  <si>
    <t>Zinsanspruch pro Jahr</t>
  </si>
  <si>
    <t>Kalkulat. Gewinn</t>
  </si>
  <si>
    <t>Direktkosten</t>
  </si>
  <si>
    <t>Strukturkosten</t>
  </si>
  <si>
    <t>Lohnkosten extern</t>
  </si>
  <si>
    <t xml:space="preserve"> Akh gesamt nur Ernte</t>
  </si>
  <si>
    <t xml:space="preserve"> Anteil Akh gesamt für Ernte</t>
  </si>
  <si>
    <t>Akh externe Arbeitskräfte</t>
  </si>
  <si>
    <t xml:space="preserve">Arbeitseinkommen pro Akh          </t>
  </si>
  <si>
    <t>Anteil externe Akh für Ernte und Handausdünnen</t>
  </si>
  <si>
    <t>Arbeitseinkommen   intern</t>
  </si>
  <si>
    <t xml:space="preserve">Produktionskosten Kl. I </t>
  </si>
  <si>
    <t xml:space="preserve">Maschinenkosten  </t>
  </si>
  <si>
    <t>Düngerkosten</t>
  </si>
  <si>
    <t>Indikatoren der Wirtschaftlichkeit</t>
  </si>
  <si>
    <r>
      <t xml:space="preserve">Gesamtinvestition </t>
    </r>
    <r>
      <rPr>
        <sz val="12"/>
        <rFont val="Arial"/>
        <family val="2"/>
      </rPr>
      <t>(GesamtCashflow am Ende der Aufbauphase = Basis für die Abschreibung)</t>
    </r>
  </si>
  <si>
    <r>
      <t>Erstellungskosten</t>
    </r>
    <r>
      <rPr>
        <sz val="12"/>
        <rFont val="Arial"/>
        <family val="2"/>
      </rPr>
      <t xml:space="preserve"> </t>
    </r>
  </si>
  <si>
    <t>Produktionskosten-  / Leistungsvergleich</t>
  </si>
  <si>
    <t>als Leistung / Akh gesamt</t>
  </si>
  <si>
    <t>Gliederung Kapitalkosten</t>
  </si>
  <si>
    <t>Material</t>
  </si>
  <si>
    <t>Was kostet der direkte Pflanzenschutz</t>
  </si>
  <si>
    <t>Zusammenfassung</t>
  </si>
  <si>
    <t>übrige Produktionskosten</t>
  </si>
  <si>
    <r>
      <t>Gliederung nach Kostenarten</t>
    </r>
    <r>
      <rPr>
        <b/>
        <i/>
        <sz val="18"/>
        <rFont val="Arial"/>
        <family val="2"/>
      </rPr>
      <t xml:space="preserve"> detailliert</t>
    </r>
  </si>
  <si>
    <t>Kapitalkosten (Zinsanspruch)</t>
  </si>
  <si>
    <t>Baumgerüst erstellen</t>
  </si>
  <si>
    <t>Was kostet die Ernte?</t>
  </si>
  <si>
    <t>Was kostet der direkte Pflanzenschutz?</t>
  </si>
  <si>
    <t>Was kostet der Pflanzenschutz?</t>
  </si>
  <si>
    <t>Total Pflanzenschutz</t>
  </si>
  <si>
    <t>Total Ernte</t>
  </si>
  <si>
    <r>
      <t xml:space="preserve">Was kostet die Ernte? </t>
    </r>
    <r>
      <rPr>
        <i/>
        <sz val="14"/>
        <color indexed="9"/>
        <rFont val="Arial"/>
        <family val="2"/>
      </rPr>
      <t>(ohne Gebindekosten)</t>
    </r>
  </si>
  <si>
    <t>Baumerziehung</t>
  </si>
  <si>
    <t>Behangsregulierung</t>
  </si>
  <si>
    <t>übrige Kosten</t>
  </si>
  <si>
    <r>
      <t xml:space="preserve">Pflanzenschutz </t>
    </r>
    <r>
      <rPr>
        <sz val="10"/>
        <rFont val="Arial"/>
        <family val="2"/>
      </rPr>
      <t>(Material, Maschinen, Arbeit&gt;)</t>
    </r>
  </si>
  <si>
    <t>Eingabe Variante</t>
  </si>
  <si>
    <t>Behangsregulierung von Hand</t>
  </si>
  <si>
    <t xml:space="preserve">Produktionskosten durchschnitt.  </t>
  </si>
  <si>
    <r>
      <t xml:space="preserve">Leistung </t>
    </r>
    <r>
      <rPr>
        <sz val="12"/>
        <color indexed="9"/>
        <rFont val="Arial"/>
        <family val="2"/>
      </rPr>
      <t>(Gesamterlös)</t>
    </r>
  </si>
  <si>
    <r>
      <t>Leistung</t>
    </r>
    <r>
      <rPr>
        <sz val="12"/>
        <color indexed="9"/>
        <rFont val="Arial"/>
        <family val="2"/>
      </rPr>
      <t xml:space="preserve"> (Gesamterlös)</t>
    </r>
  </si>
  <si>
    <t>leistungsgewichtet</t>
  </si>
  <si>
    <t>Leistungsanteil</t>
  </si>
  <si>
    <t>Anteil an Pflanzenschutz</t>
  </si>
  <si>
    <t>Anteil Sachkosten</t>
  </si>
  <si>
    <t>Produktionskosten     pro ha</t>
  </si>
  <si>
    <t>Anteil an Ernte</t>
  </si>
  <si>
    <t>Produktionskosten pro kg (leistungsgewichtet)</t>
  </si>
  <si>
    <t>Anzahl Durchfahrten</t>
  </si>
  <si>
    <t>Fungizide</t>
  </si>
  <si>
    <t>Insektizide</t>
  </si>
  <si>
    <t>Herbizide</t>
  </si>
  <si>
    <t>Arbeitseinkommen   durchschnitt.</t>
  </si>
  <si>
    <t>Geldflussrechnung</t>
  </si>
  <si>
    <t>Anteil Arbeitskosten</t>
  </si>
  <si>
    <t>Gesamt-Cashflow (Kapitalfluss)</t>
  </si>
  <si>
    <t>Tafelbirnen</t>
  </si>
  <si>
    <t>Conférence</t>
  </si>
  <si>
    <t>16. Standjahr</t>
  </si>
  <si>
    <t>17. Standjahr</t>
  </si>
  <si>
    <t>18. Standjahr</t>
  </si>
  <si>
    <t>19. Standjahr</t>
  </si>
  <si>
    <t>20. Standjahr</t>
  </si>
  <si>
    <t>Gesamt-Cashflow nach 16. Stj.</t>
  </si>
  <si>
    <t>Gesamt-Cashflow nach 17. Stj.</t>
  </si>
  <si>
    <t>Gesamt-Cashflow nach 18. Stj.</t>
  </si>
  <si>
    <t>Gesamt-Cashflow nach 19. Stj.</t>
  </si>
  <si>
    <t>Gesamt-Cashflow nach 20. Stj.</t>
  </si>
  <si>
    <t>Erwirtschaftetes Kapital nach 20 Jahren</t>
  </si>
  <si>
    <t>Basis: Gesamtcashflow Ende    5. Standjahr</t>
  </si>
  <si>
    <t>Produktionskosten ohne Abschreibung 16. Stj.</t>
  </si>
  <si>
    <t>Produktionskosten ohne Abschreibung 17. Stj.</t>
  </si>
  <si>
    <t>Produktionskosten ohne Abschreibung 18. Stj.</t>
  </si>
  <si>
    <t>Produktionskosten ohne Abschreibung 19. Stj.</t>
  </si>
  <si>
    <t>Produktionskosten ohne Abschreibung 20. Stj.</t>
  </si>
  <si>
    <t>4. Stj.</t>
  </si>
  <si>
    <t>5. Stj.</t>
  </si>
  <si>
    <t>Stützpfhal je Baum</t>
  </si>
  <si>
    <t>Zeitgemässe Tafelbirnenanlage auf schwachwachsender Unterlage. Werte sind ausgelegt auf gemischtwirtschaftliche Betriebe mit 2 - 5 ha Obstfläche, an geeigneten Standort in einem der Hauptproduktionsgebiete der Schweiz.</t>
  </si>
  <si>
    <r>
      <t>Standard Vorgaben</t>
    </r>
    <r>
      <rPr>
        <b/>
        <sz val="15"/>
        <color indexed="9"/>
        <rFont val="Arial"/>
        <family val="2"/>
      </rPr>
      <t xml:space="preserve">             </t>
    </r>
    <r>
      <rPr>
        <b/>
        <sz val="13"/>
        <color indexed="9"/>
        <rFont val="Arial"/>
        <family val="2"/>
      </rPr>
      <t>Seite 1</t>
    </r>
    <r>
      <rPr>
        <b/>
        <sz val="15"/>
        <color indexed="9"/>
        <rFont val="Arial"/>
        <family val="2"/>
      </rPr>
      <t xml:space="preserve">   </t>
    </r>
    <r>
      <rPr>
        <b/>
        <sz val="20"/>
        <color indexed="9"/>
        <rFont val="Arial"/>
        <family val="2"/>
      </rPr>
      <t xml:space="preserve">               </t>
    </r>
  </si>
  <si>
    <r>
      <t>Arbeiten</t>
    </r>
    <r>
      <rPr>
        <sz val="20"/>
        <rFont val="Arial"/>
        <family val="2"/>
      </rPr>
      <t xml:space="preserve"> ohne Maschinen</t>
    </r>
  </si>
  <si>
    <r>
      <t>Standard Vorgaben</t>
    </r>
    <r>
      <rPr>
        <b/>
        <sz val="15"/>
        <color indexed="9"/>
        <rFont val="Arial"/>
        <family val="2"/>
      </rPr>
      <t xml:space="preserve">             </t>
    </r>
    <r>
      <rPr>
        <b/>
        <sz val="13"/>
        <color indexed="9"/>
        <rFont val="Arial"/>
        <family val="2"/>
      </rPr>
      <t>Seite 2</t>
    </r>
    <r>
      <rPr>
        <b/>
        <sz val="15"/>
        <color indexed="9"/>
        <rFont val="Arial"/>
        <family val="2"/>
      </rPr>
      <t xml:space="preserve">   </t>
    </r>
    <r>
      <rPr>
        <b/>
        <sz val="20"/>
        <color indexed="9"/>
        <rFont val="Arial"/>
        <family val="2"/>
      </rPr>
      <t xml:space="preserve">               </t>
    </r>
  </si>
  <si>
    <r>
      <t>Variante Vorgaben</t>
    </r>
    <r>
      <rPr>
        <b/>
        <sz val="15"/>
        <color indexed="9"/>
        <rFont val="Arial"/>
        <family val="2"/>
      </rPr>
      <t xml:space="preserve">             </t>
    </r>
    <r>
      <rPr>
        <b/>
        <sz val="13"/>
        <color indexed="9"/>
        <rFont val="Arial"/>
        <family val="2"/>
      </rPr>
      <t>Seite 1</t>
    </r>
    <r>
      <rPr>
        <b/>
        <sz val="15"/>
        <color indexed="9"/>
        <rFont val="Arial"/>
        <family val="2"/>
      </rPr>
      <t xml:space="preserve">   </t>
    </r>
    <r>
      <rPr>
        <b/>
        <sz val="20"/>
        <color indexed="9"/>
        <rFont val="Arial"/>
        <family val="2"/>
      </rPr>
      <t xml:space="preserve">               </t>
    </r>
  </si>
  <si>
    <r>
      <t xml:space="preserve">Variante Vorgaben           </t>
    </r>
    <r>
      <rPr>
        <b/>
        <sz val="13"/>
        <color indexed="9"/>
        <rFont val="Arial"/>
        <family val="2"/>
      </rPr>
      <t>Seite 2</t>
    </r>
    <r>
      <rPr>
        <b/>
        <sz val="20"/>
        <color indexed="9"/>
        <rFont val="Arial"/>
        <family val="2"/>
      </rPr>
      <t xml:space="preserve">                  </t>
    </r>
  </si>
  <si>
    <r>
      <t xml:space="preserve">Standard Erstellungskosten   </t>
    </r>
    <r>
      <rPr>
        <sz val="16"/>
        <color indexed="9"/>
        <rFont val="Arial"/>
        <family val="2"/>
      </rPr>
      <t/>
    </r>
  </si>
  <si>
    <t xml:space="preserve">Seite 1 </t>
  </si>
  <si>
    <t>Vollkosten für 1 durchschnittliches Ertragsjahr</t>
  </si>
  <si>
    <r>
      <t>Gewinn oder Verlust pro ha und Jahr</t>
    </r>
    <r>
      <rPr>
        <sz val="12"/>
        <rFont val="Arial"/>
        <family val="2"/>
      </rPr>
      <t xml:space="preserve"> (kalkulatorisch)</t>
    </r>
  </si>
  <si>
    <r>
      <t xml:space="preserve">   Deckungsgrad </t>
    </r>
    <r>
      <rPr>
        <i/>
        <sz val="12"/>
        <rFont val="Arial"/>
        <family val="2"/>
      </rPr>
      <t>(Leistung / Produktionskosten)</t>
    </r>
  </si>
  <si>
    <r>
      <t xml:space="preserve">  Cashflow </t>
    </r>
    <r>
      <rPr>
        <i/>
        <sz val="12"/>
        <rFont val="Arial"/>
        <family val="2"/>
      </rPr>
      <t>(kalk. Gewinn plus Abschreibung Obstanlage)</t>
    </r>
  </si>
  <si>
    <t>Cashflowkurve  (Kapitalfluss)</t>
  </si>
  <si>
    <r>
      <t>Ertrag / Jahr</t>
    </r>
    <r>
      <rPr>
        <sz val="10"/>
        <rFont val="Arial"/>
        <family val="2"/>
      </rPr>
      <t xml:space="preserve">          Durchschn. Ertragsphase</t>
    </r>
  </si>
  <si>
    <r>
      <t xml:space="preserve">Ernteleistung  </t>
    </r>
    <r>
      <rPr>
        <sz val="10"/>
        <rFont val="Arial"/>
        <family val="2"/>
      </rPr>
      <t xml:space="preserve">baumfallend      </t>
    </r>
    <r>
      <rPr>
        <b/>
        <sz val="10"/>
        <rFont val="Arial"/>
        <family val="2"/>
      </rPr>
      <t xml:space="preserve">  </t>
    </r>
  </si>
  <si>
    <r>
      <t xml:space="preserve">Lohnkosten </t>
    </r>
    <r>
      <rPr>
        <b/>
        <i/>
        <sz val="10"/>
        <rFont val="Arial"/>
        <family val="2"/>
      </rPr>
      <t>intern</t>
    </r>
    <r>
      <rPr>
        <sz val="10"/>
        <rFont val="Arial"/>
        <family val="2"/>
      </rPr>
      <t xml:space="preserve"> (Familie)</t>
    </r>
  </si>
  <si>
    <r>
      <t xml:space="preserve">Lohnkosten </t>
    </r>
    <r>
      <rPr>
        <b/>
        <i/>
        <sz val="10"/>
        <rFont val="Arial"/>
        <family val="2"/>
      </rPr>
      <t>extern</t>
    </r>
  </si>
  <si>
    <r>
      <t xml:space="preserve">Pflanzdichte </t>
    </r>
    <r>
      <rPr>
        <sz val="10"/>
        <rFont val="Arial"/>
        <family val="2"/>
      </rPr>
      <t>Bäume/ha</t>
    </r>
  </si>
  <si>
    <r>
      <t xml:space="preserve">Kennzahlenübersicht   </t>
    </r>
    <r>
      <rPr>
        <sz val="18"/>
        <rFont val="Arial"/>
        <family val="2"/>
      </rPr>
      <t>pro Ertragsjahr</t>
    </r>
  </si>
  <si>
    <r>
      <t>Betriebsminimum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= laufende Kosten (Dünger + PBM + Hagelversicherung + Abzüge + var.Maschinenkosten + Lohnkosten)</t>
    </r>
  </si>
  <si>
    <r>
      <t xml:space="preserve">  </t>
    </r>
    <r>
      <rPr>
        <b/>
        <i/>
        <sz val="12"/>
        <rFont val="Arial"/>
        <family val="2"/>
      </rPr>
      <t xml:space="preserve"> Deckungsgrad</t>
    </r>
    <r>
      <rPr>
        <b/>
        <i/>
        <sz val="10"/>
        <rFont val="Arial"/>
        <family val="2"/>
      </rPr>
      <t xml:space="preserve"> = </t>
    </r>
    <r>
      <rPr>
        <i/>
        <sz val="10"/>
        <rFont val="Arial"/>
        <family val="2"/>
      </rPr>
      <t>Leistung / Produktionskosten</t>
    </r>
  </si>
  <si>
    <r>
      <t>Rentabilität</t>
    </r>
    <r>
      <rPr>
        <sz val="10"/>
        <rFont val="Arial"/>
        <family val="2"/>
      </rPr>
      <t xml:space="preserve"> = Eigenkapitalsrente (kalk. Gewinn + Zinsanspruch) pro investiertem Kapital </t>
    </r>
  </si>
  <si>
    <r>
      <t>Cashflow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(kalk. Gewinn plus Abschreibung Obstanlage)</t>
    </r>
  </si>
  <si>
    <r>
      <t>Leistung</t>
    </r>
    <r>
      <rPr>
        <sz val="14"/>
        <rFont val="Arial"/>
        <family val="2"/>
      </rPr>
      <t xml:space="preserve"> (Gesamterlös)</t>
    </r>
  </si>
  <si>
    <r>
      <t>Produktionskosten</t>
    </r>
    <r>
      <rPr>
        <b/>
        <sz val="12"/>
        <rFont val="Arial"/>
        <family val="2"/>
      </rPr>
      <t xml:space="preserve">      </t>
    </r>
  </si>
  <si>
    <r>
      <t xml:space="preserve">Kennzahlenübersicht  </t>
    </r>
    <r>
      <rPr>
        <sz val="18"/>
        <rFont val="Arial"/>
        <family val="2"/>
      </rPr>
      <t>pro Ertragsjahr</t>
    </r>
  </si>
  <si>
    <r>
      <t>Erwirtschaftetes Kapital</t>
    </r>
    <r>
      <rPr>
        <sz val="10"/>
        <rFont val="Arial"/>
        <family val="2"/>
      </rPr>
      <t xml:space="preserve"> am Ende der Ertragsphase</t>
    </r>
  </si>
  <si>
    <r>
      <t xml:space="preserve">Arbeitseinkommen pro Akh  </t>
    </r>
    <r>
      <rPr>
        <b/>
        <i/>
        <sz val="14"/>
        <rFont val="Arial"/>
        <family val="2"/>
      </rPr>
      <t>intern</t>
    </r>
  </si>
  <si>
    <r>
      <t>Arbeitsproduktivität</t>
    </r>
    <r>
      <rPr>
        <sz val="12"/>
        <rFont val="Arial"/>
        <family val="2"/>
      </rPr>
      <t xml:space="preserve">  als kg Tafelfrüchte / Akh gesamt</t>
    </r>
  </si>
  <si>
    <r>
      <t>Vergleichbarer Deckungsbeitrag</t>
    </r>
    <r>
      <rPr>
        <sz val="10"/>
        <rFont val="Arial"/>
        <family val="2"/>
      </rPr>
      <t xml:space="preserve">       (früher DfE)</t>
    </r>
  </si>
  <si>
    <r>
      <t>Arbeitseinkommen</t>
    </r>
    <r>
      <rPr>
        <sz val="12"/>
        <rFont val="Arial"/>
        <family val="2"/>
      </rPr>
      <t xml:space="preserve"> = Leistung - Produktionskosten ohne Arbeit</t>
    </r>
  </si>
  <si>
    <r>
      <t>Arbeitseinkommen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intern </t>
    </r>
    <r>
      <rPr>
        <sz val="12"/>
        <rFont val="Arial"/>
        <family val="2"/>
      </rPr>
      <t>= Arbeitseinkommen - Lohnkosten extern</t>
    </r>
  </si>
  <si>
    <t>ÖLN</t>
  </si>
  <si>
    <t>Betriebsleiter</t>
  </si>
  <si>
    <t>Durchschnitt (berechnet) alle</t>
  </si>
  <si>
    <t>Durchschnitt (berechnet) Leiter u. intern</t>
  </si>
  <si>
    <t>Lohnkosten Betriebsleiter</t>
  </si>
  <si>
    <r>
      <t>Akazienpfähle 200cm; D</t>
    </r>
    <r>
      <rPr>
        <sz val="9"/>
        <rFont val="Arial"/>
        <family val="2"/>
      </rPr>
      <t>istanz 4m</t>
    </r>
  </si>
  <si>
    <r>
      <t>Akazienpfähle 225cm; D</t>
    </r>
    <r>
      <rPr>
        <sz val="9"/>
        <rFont val="Arial"/>
        <family val="2"/>
      </rPr>
      <t>istanz 4m</t>
    </r>
  </si>
  <si>
    <t>Spanndraht 3mm</t>
  </si>
  <si>
    <t>1j.V</t>
  </si>
  <si>
    <t>1j.V.</t>
  </si>
  <si>
    <t>Obstbautraktor 4-Rad</t>
  </si>
  <si>
    <t>Kommentar: Auslastung gemäss ART evt. im Durchschnitt zu hoch, d.h. Ansätze eher zu klein.</t>
  </si>
  <si>
    <r>
      <t xml:space="preserve">Erstellungskosten   </t>
    </r>
    <r>
      <rPr>
        <sz val="11"/>
        <rFont val="Arial"/>
        <family val="2"/>
      </rPr>
      <t xml:space="preserve"> Pflanzlöcher von Hand (keine Setzmaschine) </t>
    </r>
  </si>
  <si>
    <r>
      <t xml:space="preserve">Variante Erstellungskosten   </t>
    </r>
    <r>
      <rPr>
        <sz val="16"/>
        <color indexed="9"/>
        <rFont val="Arial"/>
        <family val="2"/>
      </rPr>
      <t/>
    </r>
  </si>
  <si>
    <r>
      <t>Gesamt-Cashflow nach der Erstellung</t>
    </r>
    <r>
      <rPr>
        <sz val="10"/>
        <rFont val="Arial"/>
        <family val="2"/>
      </rPr>
      <t xml:space="preserve"> (inkl. Zaun)</t>
    </r>
  </si>
  <si>
    <r>
      <t>Pflanzenschutz</t>
    </r>
    <r>
      <rPr>
        <sz val="10"/>
        <rFont val="Arial"/>
        <family val="2"/>
      </rPr>
      <t xml:space="preserve"> (Material, Maschinen, Arbeit&gt;)</t>
    </r>
  </si>
  <si>
    <t>Stützpfahl je B.</t>
  </si>
  <si>
    <t>Hagelnetz</t>
  </si>
  <si>
    <t>3-fädige Standardbreite m2</t>
  </si>
  <si>
    <t>Firstplaketten</t>
  </si>
  <si>
    <t>Traufenplaketten FRUSTAR 1</t>
  </si>
  <si>
    <t>Plaketten Standart inkl. S-Hacken</t>
  </si>
  <si>
    <t xml:space="preserve">Stirnseil 9.5 mm </t>
  </si>
  <si>
    <t>Ankerseil 9.5 mm</t>
  </si>
  <si>
    <t>Querseil 9mm</t>
  </si>
  <si>
    <t>Firstdraht</t>
  </si>
  <si>
    <t>Netzschnur</t>
  </si>
  <si>
    <t>Drahtspanner</t>
  </si>
  <si>
    <t>Kleinmaterial</t>
  </si>
  <si>
    <t>Hilfsgerüst</t>
  </si>
  <si>
    <t>Reihenpfähle 4 m 8/10 10m Abstand</t>
  </si>
  <si>
    <t>Endpfähle 4.20 m 10/1210</t>
  </si>
  <si>
    <t>Eckpfähle 4.50 m 13/15</t>
  </si>
  <si>
    <t>Anker</t>
  </si>
  <si>
    <t>Pfahlhüte</t>
  </si>
  <si>
    <t>Maschinen (separat für Hagel
netzerstellung)</t>
  </si>
  <si>
    <t>totale Zugkraftkosten</t>
  </si>
  <si>
    <t>Kleinbagger</t>
  </si>
  <si>
    <t>Pneuwagen 2achsig, 5 t</t>
  </si>
  <si>
    <t>Arbeit Hagelnetzerstellung</t>
  </si>
  <si>
    <t>Ausstecken</t>
  </si>
  <si>
    <t>Pfahlen</t>
  </si>
  <si>
    <t>Netzmontage</t>
  </si>
  <si>
    <t>Verlustzeiten (10%)</t>
  </si>
  <si>
    <t>Einsparung an Gerüstkosten durch Hagelnetzerstellung</t>
  </si>
  <si>
    <t>Endpfähle</t>
  </si>
  <si>
    <t>Zwischenpfähle</t>
  </si>
  <si>
    <t>Einsparung an Arbeits-u. Maschinenkosten</t>
  </si>
  <si>
    <t>Pfählen</t>
  </si>
  <si>
    <t>Zugkraftkosten</t>
  </si>
  <si>
    <t>Gerüst und Material</t>
  </si>
  <si>
    <t>Einsparung</t>
  </si>
  <si>
    <t>Totale Kosten nur Hagelnetz</t>
  </si>
  <si>
    <t>Mietansatz</t>
  </si>
  <si>
    <t>Quelle: Anbauempfehlung für die Obstregion NO-CH 2007</t>
  </si>
  <si>
    <t xml:space="preserve">Hagelnetz                                                       </t>
  </si>
  <si>
    <t>Hagelnetze öffnen</t>
  </si>
  <si>
    <t>Hagelnetze schliessen</t>
  </si>
  <si>
    <t>Mostobst</t>
  </si>
  <si>
    <t>Branchenbeiträge</t>
  </si>
  <si>
    <t>Abzüge                           branchenbeiträge</t>
  </si>
  <si>
    <t>Abzüge                                      branchenbeiträge</t>
  </si>
  <si>
    <t>branchenbeiträge</t>
  </si>
  <si>
    <t>Kreiselegge mit Packerwalze, 3 m</t>
  </si>
  <si>
    <t>Anbaugebläsepritze 1000 l</t>
  </si>
  <si>
    <t>Obstbautraktor 4-Rad (45-54 kW, 61-73 PS)</t>
  </si>
  <si>
    <t>Anbaufeldspritze, 12 m Balken, 600 l Fass</t>
  </si>
  <si>
    <t xml:space="preserve">Quelle: Hortima Katalog </t>
  </si>
  <si>
    <t xml:space="preserve">Quelle: Anbauempfehlung Obstregion NW-CH </t>
  </si>
  <si>
    <t>Quelle: Anbauempfehlung Obstregion NW-CH</t>
  </si>
  <si>
    <t>Quelle: Hortima Katalo</t>
  </si>
  <si>
    <t>Quelle: Anbauempfehlung für die Obstregion NO-CH</t>
  </si>
  <si>
    <t>1=Pflanzjahr</t>
  </si>
  <si>
    <t>Stickstoff</t>
  </si>
  <si>
    <t xml:space="preserve">Düngung:                     </t>
  </si>
  <si>
    <t xml:space="preserve"> ca. Fr. 1'000.- je 100 Laufmeter gerechnet werden. Bei Hauswasseranschluss keine Pumpe nötig.</t>
  </si>
  <si>
    <t>Zukauf des Wassers. Für die Installation der Wasserzufuhr bis zur Anlage muss mit Kosten von</t>
  </si>
  <si>
    <t xml:space="preserve">Jahreskosten  einer Tröpfchenbewässerung   ohne Fertigation </t>
  </si>
  <si>
    <t>Wasser</t>
  </si>
  <si>
    <t>Kontrolle</t>
  </si>
  <si>
    <t>Spülung</t>
  </si>
  <si>
    <t xml:space="preserve"> jährlich</t>
  </si>
  <si>
    <t>Strom</t>
  </si>
  <si>
    <t xml:space="preserve">Betriebskosten </t>
  </si>
  <si>
    <t>geteilt durch 15 Nutzungsjahre</t>
  </si>
  <si>
    <t>Abschreibung</t>
  </si>
  <si>
    <t>davon</t>
  </si>
  <si>
    <t>Fremdkst.</t>
  </si>
  <si>
    <t>Materialkst.</t>
  </si>
  <si>
    <t>Zinsanspruch</t>
  </si>
  <si>
    <r>
      <t xml:space="preserve">Jahreskosten     </t>
    </r>
    <r>
      <rPr>
        <sz val="8"/>
        <rFont val="Arial"/>
        <family val="2"/>
      </rPr>
      <t xml:space="preserve"> (Wasser wird zugekauft)</t>
    </r>
  </si>
  <si>
    <t>Total Erstellungskosten / ha        ohne Fertigation</t>
  </si>
  <si>
    <t>à</t>
  </si>
  <si>
    <t>Betriebsleitung</t>
  </si>
  <si>
    <t>Handarbeitskosten</t>
  </si>
  <si>
    <t>Traktor 2-Rad</t>
  </si>
  <si>
    <t>Zugkraftkst.</t>
  </si>
  <si>
    <t xml:space="preserve">Maschinen- u. </t>
  </si>
  <si>
    <t>Materialkosten</t>
  </si>
  <si>
    <t>Kostenzusammenstellung</t>
  </si>
  <si>
    <t>Total Arbeits- u. Maschinenkosten</t>
  </si>
  <si>
    <t>der aufgel. AKh und ZKh</t>
  </si>
  <si>
    <t>Verlustzeiten</t>
  </si>
  <si>
    <t>Abmessen</t>
  </si>
  <si>
    <t>Kopfstation einrichten</t>
  </si>
  <si>
    <t>Sprinkler montieren</t>
  </si>
  <si>
    <t>Tropfschlauch montieren</t>
  </si>
  <si>
    <t xml:space="preserve">Tropfschlauch auslegen </t>
  </si>
  <si>
    <t>Grabenfräse</t>
  </si>
  <si>
    <t>Hauptleitung graben und verlegen</t>
  </si>
  <si>
    <t>Montage</t>
  </si>
  <si>
    <t>Maschinenkst.</t>
  </si>
  <si>
    <t>ZKh/ha</t>
  </si>
  <si>
    <t>AKh/ha</t>
  </si>
  <si>
    <t>Arbeits- und Maschinenkosten</t>
  </si>
  <si>
    <t>Total Materialkosten  inkl. MwSt</t>
  </si>
  <si>
    <t>Pumpe, wenn ab Tank</t>
  </si>
  <si>
    <t>Optionen</t>
  </si>
  <si>
    <t>Fertigationspumpe</t>
  </si>
  <si>
    <t>Total Kopfstation</t>
  </si>
  <si>
    <t>Diverses Kleinmaterial</t>
  </si>
  <si>
    <t>Bewässerungscomputer</t>
  </si>
  <si>
    <t>Magnetventile 1 1/2"</t>
  </si>
  <si>
    <t xml:space="preserve">Rückschlagventil </t>
  </si>
  <si>
    <t>Druckreduzierventil 2" 4-fach</t>
  </si>
  <si>
    <t>Kopfstation 2"</t>
  </si>
  <si>
    <t>Filter Arkal 2" 120 masch</t>
  </si>
  <si>
    <t>Kopfstation</t>
  </si>
  <si>
    <t>Total Verteilanlage</t>
  </si>
  <si>
    <t>Kugelhahn 2"</t>
  </si>
  <si>
    <t>mm, PN 8 (Hauptleitung)</t>
  </si>
  <si>
    <t>PE-Wasserdruckrohr, 50</t>
  </si>
  <si>
    <t>Verteilanlage</t>
  </si>
  <si>
    <t>Total Tropfanlage</t>
  </si>
  <si>
    <t xml:space="preserve">Tropfschlauchaufhänger </t>
  </si>
  <si>
    <t>Kugelventile PVC 25x25</t>
  </si>
  <si>
    <t>Tropfreihen An-/Abschlüsse</t>
  </si>
  <si>
    <t>1 Sprinkler je 2 Bäume</t>
  </si>
  <si>
    <t>Microsprinkler Spinet 70L/h</t>
  </si>
  <si>
    <t>Tropfschlauch Pn4 25 mm</t>
  </si>
  <si>
    <t>Tropfanlage</t>
  </si>
  <si>
    <r>
      <t xml:space="preserve">Grundstück 124 x 81 m     =   Netto 75 x </t>
    </r>
    <r>
      <rPr>
        <b/>
        <sz val="8"/>
        <rFont val="Arial"/>
        <family val="2"/>
      </rPr>
      <t xml:space="preserve"> </t>
    </r>
  </si>
  <si>
    <t xml:space="preserve"> Erstellungs-&amp; Jahreskosten     Mikrosprinkler   Kernobst  Quelle: Anbauempfehlung für die Obstregion NO-CH 2006       </t>
  </si>
  <si>
    <t xml:space="preserve">Jahreskosten  einer Tröpfchenbewässerung   mit Fertigation </t>
  </si>
  <si>
    <t>Fertigationsdünger</t>
  </si>
  <si>
    <t>Total Erstellungskosten / ha        mit Fertigation</t>
  </si>
  <si>
    <t xml:space="preserve">Total Materialkosten </t>
  </si>
  <si>
    <t>Druckreduzierventil</t>
  </si>
  <si>
    <t>Tropfschlauchaufhänger 20mm</t>
  </si>
  <si>
    <t>Kugelventile PVC 20x20</t>
  </si>
  <si>
    <t xml:space="preserve">50 cm Tropfenabstand Ram </t>
  </si>
  <si>
    <t>(Netafim)</t>
  </si>
  <si>
    <t>Tropfschlauch mit integrierten Tropfern, druckkompensiert, 20 mm, 2.3 l/h,</t>
  </si>
  <si>
    <r>
      <t xml:space="preserve"> Erstellungs- &amp; Jahreskosten </t>
    </r>
    <r>
      <rPr>
        <b/>
        <sz val="8"/>
        <color indexed="9"/>
        <rFont val="Arial Black"/>
        <family val="2"/>
      </rPr>
      <t xml:space="preserve">Tropfenbewässerung Kernobst  </t>
    </r>
    <r>
      <rPr>
        <sz val="8"/>
        <color indexed="9"/>
        <rFont val="Arial Black"/>
        <family val="2"/>
      </rPr>
      <t xml:space="preserve">      </t>
    </r>
  </si>
  <si>
    <t>Quelle: Anbauempfehlung Obstregion NW-CH 2007</t>
  </si>
  <si>
    <r>
      <t xml:space="preserve">Bewässerungsanlage </t>
    </r>
    <r>
      <rPr>
        <sz val="8"/>
        <rFont val="Arial"/>
        <family val="2"/>
      </rPr>
      <t xml:space="preserve">Quelle: Anbauempfehlung für die Obstregion NO-CH </t>
    </r>
  </si>
  <si>
    <t>Variante 1 ha</t>
  </si>
  <si>
    <t>Standard 1 ha</t>
  </si>
  <si>
    <t>Bewässerungsanlage: Tropfenbewässerung  Quelle: Anbauempfehlung für die Obstregion NO-CH</t>
  </si>
  <si>
    <r>
      <t xml:space="preserve"> Erstellungs- und Jahreskosten </t>
    </r>
    <r>
      <rPr>
        <sz val="14"/>
        <color indexed="9"/>
        <rFont val="Arial Black"/>
        <family val="2"/>
      </rPr>
      <t/>
    </r>
  </si>
  <si>
    <t>Tropfschlauch mit integr-</t>
  </si>
  <si>
    <t>ierten Tropfern, druckko-</t>
  </si>
  <si>
    <t xml:space="preserve">mpensiert, 20 mm, 2.3 l/h, </t>
  </si>
  <si>
    <t>Erstellung und Jahreskosten</t>
  </si>
  <si>
    <r>
      <t xml:space="preserve">Druckreduzierventil </t>
    </r>
    <r>
      <rPr>
        <sz val="8"/>
        <rFont val="Arial"/>
        <family val="2"/>
      </rPr>
      <t>2" 4-fach</t>
    </r>
  </si>
  <si>
    <r>
      <t xml:space="preserve">Jahreskosten     </t>
    </r>
    <r>
      <rPr>
        <sz val="8"/>
        <rFont val="Arial"/>
        <family val="2"/>
      </rPr>
      <t xml:space="preserve"> </t>
    </r>
    <r>
      <rPr>
        <sz val="8"/>
        <rFont val="Arial"/>
        <family val="2"/>
      </rPr>
      <t>(Wasser wird zugekauft)</t>
    </r>
  </si>
  <si>
    <t>Bewässerungsanlage: Tropfenbewässerung</t>
  </si>
  <si>
    <t>Maschinen und Zugkraftkosten</t>
  </si>
  <si>
    <t>Handarbeitkosten</t>
  </si>
  <si>
    <t>Totale Erstellungskosten Bewässerung</t>
  </si>
  <si>
    <t>Diverse Kosten inkl. Bewässerung</t>
  </si>
  <si>
    <t>Kaiser</t>
  </si>
  <si>
    <t>Gurnddüngung</t>
  </si>
  <si>
    <t>Hühnermist</t>
  </si>
  <si>
    <r>
      <t>Quelle:</t>
    </r>
    <r>
      <rPr>
        <sz val="12"/>
        <color indexed="9"/>
        <rFont val="Arial"/>
        <family val="2"/>
      </rPr>
      <t xml:space="preserve"> Expertenschätzung von Produzenten</t>
    </r>
  </si>
  <si>
    <t>Insektenschutz</t>
  </si>
  <si>
    <t>Insektennetz Vorhang 2 Bahnen x 4m x Nettolänge</t>
  </si>
  <si>
    <t>Insektennetz Vorhang 2 Bahnen* Brutto-Breite *4m</t>
  </si>
  <si>
    <t>Insektennetz 0.70m x Nettolänge</t>
  </si>
  <si>
    <t>Rand-Plaketten alle 2m</t>
  </si>
  <si>
    <t>Insektennetz-Vorhang</t>
  </si>
  <si>
    <t>Totale Erstellungskosten mit Zaun, Hagelnetz, Insektennetz und Bewässerung</t>
  </si>
  <si>
    <t>m³</t>
  </si>
  <si>
    <t>Fr./m3</t>
  </si>
  <si>
    <t>Arbeitskosten jährlich</t>
  </si>
  <si>
    <t>Montage/Demontage</t>
  </si>
  <si>
    <t>Jährliche Kosten für Montage/Demontage des Insektenschutzens</t>
  </si>
  <si>
    <t>Insektenschutznetz öffnen-schliessen</t>
  </si>
  <si>
    <t>Hebebühne schwer, selbstfahrend, elektrisch</t>
  </si>
  <si>
    <t>Herbizidspritze beideseitig + Herbizidfass</t>
  </si>
  <si>
    <t>Sichelmulchgerät mit beids. Schwenkarm</t>
  </si>
  <si>
    <t>Niederstammanlage mit Drahtgerüst und Zaun (mit Hagelnetz, mit Bewässerung, mit Insektennetz)</t>
  </si>
  <si>
    <t>Niederstammanlage mit Drahtgerüst und Zaun (mit Hagelnetz, mit Bewässerung, mit Insektennezt)</t>
  </si>
  <si>
    <t>Arbokost 2023</t>
  </si>
  <si>
    <t>Feuerbrandbehandlungen</t>
  </si>
  <si>
    <t>Blatddüngung</t>
  </si>
  <si>
    <t>Pflanzenbehandlungsmittel + Blattdüngung</t>
  </si>
  <si>
    <t>5. Standjahr + Ertragsphase</t>
  </si>
  <si>
    <t>Pflanzenbehandlungsmittel und Blattdüngung</t>
  </si>
  <si>
    <t>@copyright: Weitergabe der Kalkulationen nur mit Genemigung von Agroscope. Alle Angaben ohne Gewähr. Zitierungshinweis: Bravin E., Carint D., Zürcher M., Mouron P., Arbokost 2023, Agroscope, arbokost.agroscope.ch</t>
  </si>
  <si>
    <t>Teuerung 2015-2023 (Baumaterialien gemäss Bundesamt für Statistik)</t>
  </si>
  <si>
    <t xml:space="preserve">Bewässerungsanlage: Mikrosprinkler Kernobst  Quelle: Anbauempfehlung für die Obstregion NO-CH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</si>
</sst>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6">
    <numFmt numFmtId="164" formatCode="&quot;Fr.&quot;\ #,##0;&quot;Fr.&quot;\ \-#,##0"/>
    <numFmt numFmtId="165" formatCode="&quot;Fr.&quot;\ #,##0;[Red]&quot;Fr.&quot;\ \-#,##0"/>
    <numFmt numFmtId="166" formatCode="&quot;Fr.&quot;\ #,##0.00;&quot;Fr.&quot;\ \-#,##0.00"/>
    <numFmt numFmtId="167" formatCode="&quot;Fr.&quot;\ #,##0.00;[Red]&quot;Fr.&quot;\ \-#,##0.00"/>
    <numFmt numFmtId="168" formatCode="0.0"/>
    <numFmt numFmtId="169" formatCode="0.00\ &quot;Fr.&quot;"/>
    <numFmt numFmtId="170" formatCode="\ #,##0\ &quot;Fr.&quot;"/>
    <numFmt numFmtId="171" formatCode="h"/>
    <numFmt numFmtId="172" formatCode="\ #,##0\ \k\g"/>
    <numFmt numFmtId="173" formatCode="0.0\ \k\g"/>
    <numFmt numFmtId="174" formatCode="0\ \J"/>
    <numFmt numFmtId="175" formatCode="0.0%"/>
    <numFmt numFmtId="176" formatCode="#,##0.0"/>
    <numFmt numFmtId="177" formatCode="0.00\ \k\g"/>
    <numFmt numFmtId="178" formatCode="0.0\ &quot;ha&quot;"/>
    <numFmt numFmtId="179" formatCode="#,##0\ &quot;Bäume&quot;"/>
    <numFmt numFmtId="180" formatCode="0.00\ &quot;Fr./kg&quot;"/>
    <numFmt numFmtId="181" formatCode="#,##0\ &quot;kg / ha&quot;"/>
    <numFmt numFmtId="182" formatCode="0.00\ &quot;Fr./ h&quot;"/>
    <numFmt numFmtId="183" formatCode="0.00\ &quot;Fr./ kg&quot;"/>
    <numFmt numFmtId="184" formatCode="0\ &quot;Akh&quot;"/>
    <numFmt numFmtId="185" formatCode="0.00\ &quot;Fr./ ha&quot;"/>
    <numFmt numFmtId="186" formatCode="0\ &quot;h / ha&quot;"/>
    <numFmt numFmtId="187" formatCode="0\ &quot;m&quot;"/>
    <numFmt numFmtId="188" formatCode="&quot;Faktor&quot;\ 0.0"/>
    <numFmt numFmtId="189" formatCode="0\ &quot;Fuder&quot;"/>
    <numFmt numFmtId="190" formatCode="0\ &quot;h&quot;"/>
    <numFmt numFmtId="191" formatCode="0\ &quot;m2&quot;"/>
    <numFmt numFmtId="192" formatCode="#,##0\ &quot;m&quot;"/>
    <numFmt numFmtId="193" formatCode="0\ &quot;kg / Fuder&quot;"/>
    <numFmt numFmtId="194" formatCode="#,##0\ &quot;Bäume/ha&quot;"/>
    <numFmt numFmtId="195" formatCode="#,##0\ &quot;Fr.&quot;"/>
    <numFmt numFmtId="196" formatCode="0.00\ &quot;Fr./Fu&quot;"/>
    <numFmt numFmtId="197" formatCode="0.0\ &quot;h/Fuder&quot;"/>
    <numFmt numFmtId="198" formatCode="\ #,##0\ &quot;h&quot;"/>
    <numFmt numFmtId="199" formatCode="\ #,###.00\ &quot;Fr.&quot;\ "/>
    <numFmt numFmtId="200" formatCode="\ #,###\ &quot;Fr.&quot;\ "/>
    <numFmt numFmtId="201" formatCode="0\ &quot;Jahre&quot;"/>
    <numFmt numFmtId="202" formatCode="0.0\ &quot;m&quot;"/>
    <numFmt numFmtId="203" formatCode="0\ &quot;x&quot;"/>
    <numFmt numFmtId="204" formatCode="0.0000"/>
    <numFmt numFmtId="205" formatCode="#,##0\ \ &quot;Fr.&quot;"/>
    <numFmt numFmtId="206" formatCode="#,##0.00\ &quot;Fr.&quot;"/>
    <numFmt numFmtId="207" formatCode="#,##0\ &quot;Fr./J.&quot;"/>
    <numFmt numFmtId="208" formatCode="#,##0\ &quot;Akh&quot;"/>
    <numFmt numFmtId="209" formatCode="0.00\ &quot;von Akh&quot;"/>
    <numFmt numFmtId="210" formatCode="0.00\ &quot;Fr./100kg&quot;"/>
    <numFmt numFmtId="211" formatCode="#,##0\ &quot;m2&quot;"/>
    <numFmt numFmtId="212" formatCode="#,##0\ &quot;h&quot;"/>
    <numFmt numFmtId="213" formatCode="#,##0.0\ &quot;kg / h&quot;"/>
    <numFmt numFmtId="214" formatCode="0\ &quot;Bäume/ha&quot;"/>
    <numFmt numFmtId="215" formatCode="0\ &quot;Fr./ ha&quot;"/>
    <numFmt numFmtId="216" formatCode="#,##0\ &quot;gerundet&quot;"/>
    <numFmt numFmtId="217" formatCode="\ #,##0.00\ &quot;Fr.&quot;"/>
    <numFmt numFmtId="218" formatCode="0.00\ &quot;Fr&quot;"/>
    <numFmt numFmtId="219" formatCode="#,##0&quot;.- Ersatz- u. Büromaterial&quot;"/>
    <numFmt numFmtId="220" formatCode="0\ &quot;kg/h&quot;"/>
    <numFmt numFmtId="221" formatCode="0\ &quot;Personen&quot;"/>
    <numFmt numFmtId="222" formatCode="0\ &quot;kg/Fuder&quot;"/>
    <numFmt numFmtId="223" formatCode="0.00\ &quot;Fr. / h&quot;"/>
    <numFmt numFmtId="224" formatCode="#,##0.00\ &quot;Fr./h&quot;"/>
    <numFmt numFmtId="225" formatCode="#,##0\ &quot;Fr./ha&quot;"/>
    <numFmt numFmtId="226" formatCode="\ #,###\ &quot;Fr./ha&quot;"/>
    <numFmt numFmtId="227" formatCode="#,##0\ &quot;Fahrten&quot;"/>
    <numFmt numFmtId="228" formatCode="0.000"/>
    <numFmt numFmtId="229" formatCode="0\ &quot;kg&quot;"/>
    <numFmt numFmtId="230" formatCode="0.00\ &quot;Fr./h&quot;"/>
    <numFmt numFmtId="231" formatCode="0.00\ &quot;Fr./m3&quot;"/>
    <numFmt numFmtId="232" formatCode="0\ &quot;m3&quot;"/>
    <numFmt numFmtId="233" formatCode="0.0\ &quot;x&quot;"/>
    <numFmt numFmtId="234" formatCode="0.0\ &quot;h&quot;"/>
    <numFmt numFmtId="235" formatCode="0.00\ &quot;m3&quot;"/>
    <numFmt numFmtId="236" formatCode="0.\ &quot;%&quot;"/>
    <numFmt numFmtId="237" formatCode="0\ &quot;%&quot;"/>
    <numFmt numFmtId="238" formatCode="0\ &quot;AK&quot;"/>
    <numFmt numFmtId="239" formatCode="0\ &quot;Wg&quot;"/>
    <numFmt numFmtId="240" formatCode="0\ &quot;lfm&quot;"/>
    <numFmt numFmtId="241" formatCode="0.0\ &quot;Fr./lfm&quot;"/>
    <numFmt numFmtId="242" formatCode="\ #,##0\ \ &quot;Fr.&quot;"/>
    <numFmt numFmtId="243" formatCode="0.00\ &quot;kg&quot;"/>
    <numFmt numFmtId="244" formatCode="0\ &quot;Stück&quot;"/>
    <numFmt numFmtId="245" formatCode="0.00\ &quot;dt&quot;"/>
    <numFmt numFmtId="246" formatCode="0.00\ \ &quot;m&quot;"/>
    <numFmt numFmtId="247" formatCode="0.0\ \ &quot;x&quot;"/>
    <numFmt numFmtId="248" formatCode="\ 0\ \ &quot;Reihen&quot;"/>
    <numFmt numFmtId="249" formatCode="&quot;Netto&quot;\ 0\ \ &quot;x&quot;"/>
  </numFmts>
  <fonts count="103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6"/>
      <name val="Arial"/>
      <family val="2"/>
    </font>
    <font>
      <b/>
      <sz val="16"/>
      <name val="Arial"/>
      <family val="2"/>
    </font>
    <font>
      <b/>
      <sz val="12"/>
      <color indexed="9"/>
      <name val="Arial"/>
      <family val="2"/>
    </font>
    <font>
      <b/>
      <i/>
      <sz val="16"/>
      <name val="Arial"/>
      <family val="2"/>
    </font>
    <font>
      <sz val="10"/>
      <color indexed="9"/>
      <name val="Arial"/>
      <family val="2"/>
    </font>
    <font>
      <sz val="16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2"/>
      <color indexed="9"/>
      <name val="Arial"/>
      <family val="2"/>
    </font>
    <font>
      <sz val="8"/>
      <name val="Arial"/>
      <family val="2"/>
    </font>
    <font>
      <b/>
      <sz val="11"/>
      <color indexed="9"/>
      <name val="Arial"/>
      <family val="2"/>
    </font>
    <font>
      <sz val="12"/>
      <color indexed="9"/>
      <name val="Arial"/>
      <family val="2"/>
    </font>
    <font>
      <sz val="10"/>
      <color indexed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i/>
      <sz val="10"/>
      <name val="Arial"/>
      <family val="2"/>
    </font>
    <font>
      <b/>
      <sz val="20"/>
      <color indexed="9"/>
      <name val="Arial"/>
      <family val="2"/>
    </font>
    <font>
      <b/>
      <sz val="16"/>
      <color indexed="9"/>
      <name val="Arial"/>
      <family val="2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9"/>
      <name val="Arial"/>
      <family val="2"/>
    </font>
    <font>
      <sz val="10"/>
      <color indexed="81"/>
      <name val="Tahoma"/>
      <family val="2"/>
    </font>
    <font>
      <b/>
      <i/>
      <sz val="12"/>
      <name val="Arial"/>
      <family val="2"/>
    </font>
    <font>
      <b/>
      <sz val="18"/>
      <color indexed="9"/>
      <name val="Arial"/>
      <family val="2"/>
    </font>
    <font>
      <i/>
      <sz val="10"/>
      <name val="Arial"/>
      <family val="2"/>
    </font>
    <font>
      <b/>
      <i/>
      <sz val="10"/>
      <color indexed="9"/>
      <name val="Arial"/>
      <family val="2"/>
    </font>
    <font>
      <b/>
      <sz val="10"/>
      <color indexed="18"/>
      <name val="Arial"/>
      <family val="2"/>
    </font>
    <font>
      <b/>
      <i/>
      <sz val="14"/>
      <name val="Arial"/>
      <family val="2"/>
    </font>
    <font>
      <b/>
      <sz val="18"/>
      <name val="Arial"/>
      <family val="2"/>
    </font>
    <font>
      <b/>
      <sz val="20"/>
      <name val="Comic Sans MS"/>
      <family val="4"/>
    </font>
    <font>
      <b/>
      <i/>
      <sz val="16"/>
      <color indexed="9"/>
      <name val="Arial"/>
      <family val="2"/>
    </font>
    <font>
      <sz val="26"/>
      <color indexed="9"/>
      <name val="Arial"/>
      <family val="2"/>
    </font>
    <font>
      <b/>
      <sz val="10"/>
      <color indexed="81"/>
      <name val="Tahoma"/>
      <family val="2"/>
    </font>
    <font>
      <b/>
      <i/>
      <sz val="10"/>
      <color indexed="81"/>
      <name val="Tahoma"/>
      <family val="2"/>
    </font>
    <font>
      <sz val="12"/>
      <color indexed="81"/>
      <name val="Tahoma"/>
      <family val="2"/>
    </font>
    <font>
      <sz val="11"/>
      <color indexed="81"/>
      <name val="Tahoma"/>
      <family val="2"/>
    </font>
    <font>
      <b/>
      <i/>
      <sz val="18"/>
      <name val="Arial"/>
      <family val="2"/>
    </font>
    <font>
      <i/>
      <sz val="14"/>
      <color indexed="9"/>
      <name val="Arial"/>
      <family val="2"/>
    </font>
    <font>
      <b/>
      <sz val="15"/>
      <color indexed="9"/>
      <name val="Arial"/>
      <family val="2"/>
    </font>
    <font>
      <b/>
      <sz val="13"/>
      <color indexed="9"/>
      <name val="Arial"/>
      <family val="2"/>
    </font>
    <font>
      <sz val="20"/>
      <name val="Arial"/>
      <family val="2"/>
    </font>
    <font>
      <sz val="24"/>
      <color indexed="10"/>
      <name val="Arial"/>
      <family val="2"/>
    </font>
    <font>
      <sz val="26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i/>
      <sz val="12"/>
      <color indexed="10"/>
      <name val="Arial"/>
      <family val="2"/>
    </font>
    <font>
      <sz val="20"/>
      <color indexed="9"/>
      <name val="Arial"/>
      <family val="2"/>
    </font>
    <font>
      <sz val="11"/>
      <color indexed="9"/>
      <name val="Arial"/>
      <family val="2"/>
    </font>
    <font>
      <b/>
      <sz val="20"/>
      <color indexed="9"/>
      <name val="Comic Sans MS"/>
      <family val="4"/>
    </font>
    <font>
      <b/>
      <sz val="11"/>
      <name val="Arial"/>
      <family val="2"/>
    </font>
    <font>
      <i/>
      <sz val="12"/>
      <name val="Arial"/>
      <family val="2"/>
    </font>
    <font>
      <b/>
      <i/>
      <sz val="11"/>
      <name val="Arial"/>
      <family val="2"/>
    </font>
    <font>
      <sz val="18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sz val="10"/>
      <color indexed="10"/>
      <name val="Arial"/>
      <family val="2"/>
    </font>
    <font>
      <sz val="9"/>
      <color indexed="81"/>
      <name val="Tahoma"/>
      <family val="2"/>
    </font>
    <font>
      <sz val="10"/>
      <color indexed="10"/>
      <name val="Arial"/>
      <family val="2"/>
    </font>
    <font>
      <b/>
      <sz val="20"/>
      <color indexed="10"/>
      <name val="Comic Sans MS"/>
      <family val="4"/>
    </font>
    <font>
      <b/>
      <sz val="12"/>
      <color indexed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b/>
      <sz val="8"/>
      <color indexed="9"/>
      <name val="Arial Black"/>
      <family val="2"/>
    </font>
    <font>
      <sz val="8"/>
      <color indexed="9"/>
      <name val="Arial Black"/>
      <family val="2"/>
    </font>
    <font>
      <b/>
      <sz val="8"/>
      <color indexed="9"/>
      <name val="Comic Sans MS"/>
      <family val="4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sz val="14"/>
      <color indexed="9"/>
      <name val="Arial Black"/>
      <family val="2"/>
    </font>
    <font>
      <sz val="14"/>
      <color theme="1"/>
      <name val="Arial"/>
      <family val="2"/>
    </font>
    <font>
      <u/>
      <sz val="16"/>
      <color theme="1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u/>
      <sz val="16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299">
    <xf numFmtId="0" fontId="0" fillId="0" borderId="0" xfId="0"/>
    <xf numFmtId="0" fontId="0" fillId="0" borderId="0" xfId="0" applyFill="1"/>
    <xf numFmtId="0" fontId="6" fillId="0" borderId="0" xfId="0" applyFont="1" applyFill="1"/>
    <xf numFmtId="0" fontId="1" fillId="0" borderId="0" xfId="0" applyFont="1" applyFill="1"/>
    <xf numFmtId="0" fontId="4" fillId="0" borderId="0" xfId="0" applyFont="1" applyFill="1"/>
    <xf numFmtId="168" fontId="0" fillId="0" borderId="0" xfId="0" applyNumberFormat="1" applyFill="1"/>
    <xf numFmtId="1" fontId="0" fillId="0" borderId="0" xfId="0" applyNumberFormat="1" applyFill="1"/>
    <xf numFmtId="169" fontId="0" fillId="0" borderId="0" xfId="0" applyNumberFormat="1" applyFill="1"/>
    <xf numFmtId="170" fontId="0" fillId="0" borderId="0" xfId="0" applyNumberFormat="1" applyFill="1"/>
    <xf numFmtId="169" fontId="0" fillId="0" borderId="0" xfId="0" applyNumberFormat="1"/>
    <xf numFmtId="169" fontId="0" fillId="2" borderId="1" xfId="0" applyNumberFormat="1" applyFill="1" applyBorder="1"/>
    <xf numFmtId="0" fontId="7" fillId="0" borderId="0" xfId="0" applyFont="1" applyFill="1" applyAlignment="1">
      <alignment horizontal="righ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3" borderId="0" xfId="0" applyFill="1"/>
    <xf numFmtId="0" fontId="0" fillId="3" borderId="0" xfId="0" applyFill="1" applyBorder="1" applyAlignment="1">
      <alignment horizontal="center"/>
    </xf>
    <xf numFmtId="0" fontId="1" fillId="0" borderId="0" xfId="0" applyFont="1"/>
    <xf numFmtId="0" fontId="0" fillId="0" borderId="0" xfId="0" applyBorder="1"/>
    <xf numFmtId="3" fontId="0" fillId="0" borderId="0" xfId="0" applyNumberFormat="1" applyAlignment="1">
      <alignment horizontal="center"/>
    </xf>
    <xf numFmtId="0" fontId="4" fillId="0" borderId="0" xfId="0" applyFont="1"/>
    <xf numFmtId="0" fontId="9" fillId="0" borderId="0" xfId="0" applyFont="1"/>
    <xf numFmtId="0" fontId="1" fillId="0" borderId="0" xfId="0" applyFont="1" applyBorder="1"/>
    <xf numFmtId="168" fontId="1" fillId="2" borderId="0" xfId="0" applyNumberFormat="1" applyFont="1" applyFill="1"/>
    <xf numFmtId="0" fontId="0" fillId="0" borderId="0" xfId="0" applyFill="1" applyBorder="1"/>
    <xf numFmtId="1" fontId="0" fillId="3" borderId="0" xfId="0" applyNumberFormat="1" applyFill="1" applyAlignment="1">
      <alignment horizontal="center"/>
    </xf>
    <xf numFmtId="170" fontId="0" fillId="3" borderId="0" xfId="0" applyNumberFormat="1" applyFill="1"/>
    <xf numFmtId="0" fontId="9" fillId="0" borderId="0" xfId="0" applyFont="1" applyFill="1"/>
    <xf numFmtId="168" fontId="10" fillId="0" borderId="0" xfId="0" applyNumberFormat="1" applyFont="1" applyFill="1"/>
    <xf numFmtId="0" fontId="10" fillId="0" borderId="0" xfId="0" applyFont="1"/>
    <xf numFmtId="0" fontId="11" fillId="0" borderId="0" xfId="0" applyFont="1"/>
    <xf numFmtId="169" fontId="0" fillId="0" borderId="0" xfId="0" applyNumberFormat="1" applyAlignment="1">
      <alignment horizontal="center"/>
    </xf>
    <xf numFmtId="170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0" fontId="4" fillId="2" borderId="0" xfId="0" applyFont="1" applyFill="1" applyAlignment="1">
      <alignment horizontal="center"/>
    </xf>
    <xf numFmtId="169" fontId="4" fillId="2" borderId="0" xfId="0" applyNumberFormat="1" applyFont="1" applyFill="1" applyAlignment="1">
      <alignment horizontal="center"/>
    </xf>
    <xf numFmtId="170" fontId="1" fillId="2" borderId="0" xfId="0" applyNumberFormat="1" applyFont="1" applyFill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0" xfId="0" applyFont="1" applyBorder="1"/>
    <xf numFmtId="170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70" fontId="4" fillId="2" borderId="0" xfId="0" applyNumberFormat="1" applyFont="1" applyFill="1" applyAlignment="1">
      <alignment horizontal="center"/>
    </xf>
    <xf numFmtId="9" fontId="4" fillId="0" borderId="2" xfId="1" applyBorder="1" applyAlignment="1">
      <alignment horizontal="center"/>
    </xf>
    <xf numFmtId="170" fontId="0" fillId="0" borderId="0" xfId="0" applyNumberFormat="1" applyFill="1" applyAlignment="1">
      <alignment horizontal="center"/>
    </xf>
    <xf numFmtId="170" fontId="1" fillId="0" borderId="0" xfId="0" applyNumberFormat="1" applyFont="1"/>
    <xf numFmtId="0" fontId="1" fillId="4" borderId="0" xfId="0" applyFont="1" applyFill="1"/>
    <xf numFmtId="0" fontId="0" fillId="0" borderId="0" xfId="0" applyFill="1" applyAlignment="1">
      <alignment horizontal="center"/>
    </xf>
    <xf numFmtId="168" fontId="0" fillId="0" borderId="0" xfId="0" applyNumberFormat="1" applyFill="1" applyAlignment="1">
      <alignment horizontal="center"/>
    </xf>
    <xf numFmtId="170" fontId="0" fillId="0" borderId="0" xfId="0" applyNumberFormat="1"/>
    <xf numFmtId="0" fontId="0" fillId="2" borderId="0" xfId="0" applyFill="1" applyAlignment="1">
      <alignment horizontal="center"/>
    </xf>
    <xf numFmtId="0" fontId="0" fillId="0" borderId="2" xfId="0" applyBorder="1" applyAlignment="1">
      <alignment horizontal="center"/>
    </xf>
    <xf numFmtId="168" fontId="0" fillId="0" borderId="0" xfId="0" applyNumberFormat="1" applyFill="1" applyBorder="1" applyAlignment="1">
      <alignment horizontal="center"/>
    </xf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9" fontId="4" fillId="0" borderId="0" xfId="0" applyNumberFormat="1" applyFont="1" applyFill="1" applyBorder="1" applyAlignment="1">
      <alignment horizontal="center"/>
    </xf>
    <xf numFmtId="170" fontId="4" fillId="0" borderId="0" xfId="0" applyNumberFormat="1" applyFont="1" applyFill="1" applyBorder="1" applyAlignment="1">
      <alignment horizontal="center"/>
    </xf>
    <xf numFmtId="168" fontId="4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9" fontId="0" fillId="0" borderId="0" xfId="0" applyNumberFormat="1" applyFill="1" applyBorder="1" applyAlignment="1">
      <alignment horizontal="center"/>
    </xf>
    <xf numFmtId="170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69" fontId="0" fillId="0" borderId="0" xfId="0" applyNumberFormat="1" applyFill="1" applyAlignment="1">
      <alignment horizontal="center"/>
    </xf>
    <xf numFmtId="169" fontId="0" fillId="3" borderId="0" xfId="0" applyNumberFormat="1" applyFill="1" applyBorder="1" applyAlignment="1">
      <alignment horizontal="center"/>
    </xf>
    <xf numFmtId="0" fontId="12" fillId="0" borderId="0" xfId="0" applyFont="1"/>
    <xf numFmtId="0" fontId="0" fillId="3" borderId="0" xfId="0" applyFill="1" applyAlignment="1">
      <alignment horizontal="center"/>
    </xf>
    <xf numFmtId="170" fontId="0" fillId="3" borderId="0" xfId="0" applyNumberFormat="1" applyFill="1" applyAlignment="1">
      <alignment horizontal="center"/>
    </xf>
    <xf numFmtId="0" fontId="6" fillId="5" borderId="0" xfId="0" applyFont="1" applyFill="1"/>
    <xf numFmtId="0" fontId="9" fillId="5" borderId="0" xfId="0" applyFont="1" applyFill="1"/>
    <xf numFmtId="0" fontId="9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16" fillId="0" borderId="0" xfId="0" applyFont="1"/>
    <xf numFmtId="0" fontId="16" fillId="0" borderId="0" xfId="0" applyFont="1" applyFill="1"/>
    <xf numFmtId="9" fontId="9" fillId="0" borderId="2" xfId="1" applyFont="1" applyBorder="1" applyAlignment="1">
      <alignment horizontal="center"/>
    </xf>
    <xf numFmtId="0" fontId="20" fillId="0" borderId="0" xfId="0" applyFont="1" applyFill="1"/>
    <xf numFmtId="0" fontId="0" fillId="0" borderId="2" xfId="0" applyBorder="1"/>
    <xf numFmtId="0" fontId="21" fillId="0" borderId="0" xfId="0" applyFont="1" applyFill="1"/>
    <xf numFmtId="170" fontId="1" fillId="0" borderId="0" xfId="0" applyNumberFormat="1" applyFont="1" applyFill="1" applyAlignment="1">
      <alignment horizontal="center"/>
    </xf>
    <xf numFmtId="0" fontId="0" fillId="0" borderId="3" xfId="0" applyBorder="1"/>
    <xf numFmtId="164" fontId="0" fillId="0" borderId="0" xfId="0" applyNumberFormat="1" applyFill="1" applyBorder="1" applyAlignment="1">
      <alignment horizontal="center"/>
    </xf>
    <xf numFmtId="0" fontId="10" fillId="0" borderId="0" xfId="0" applyFont="1" applyBorder="1"/>
    <xf numFmtId="0" fontId="18" fillId="0" borderId="0" xfId="0" applyFont="1"/>
    <xf numFmtId="0" fontId="13" fillId="0" borderId="0" xfId="0" applyFont="1"/>
    <xf numFmtId="170" fontId="1" fillId="0" borderId="0" xfId="0" applyNumberFormat="1" applyFont="1" applyFill="1" applyBorder="1"/>
    <xf numFmtId="173" fontId="1" fillId="0" borderId="0" xfId="0" applyNumberFormat="1" applyFont="1" applyFill="1" applyBorder="1" applyAlignment="1">
      <alignment horizontal="center"/>
    </xf>
    <xf numFmtId="172" fontId="1" fillId="0" borderId="0" xfId="0" applyNumberFormat="1" applyFont="1" applyFill="1" applyBorder="1" applyAlignment="1">
      <alignment horizontal="center"/>
    </xf>
    <xf numFmtId="169" fontId="1" fillId="0" borderId="0" xfId="0" applyNumberFormat="1" applyFont="1" applyFill="1" applyBorder="1" applyAlignment="1">
      <alignment horizontal="center"/>
    </xf>
    <xf numFmtId="9" fontId="4" fillId="0" borderId="0" xfId="1" applyFont="1" applyFill="1" applyBorder="1" applyAlignment="1">
      <alignment horizontal="center"/>
    </xf>
    <xf numFmtId="173" fontId="0" fillId="0" borderId="0" xfId="0" applyNumberFormat="1" applyFill="1" applyAlignment="1">
      <alignment horizontal="center"/>
    </xf>
    <xf numFmtId="169" fontId="0" fillId="3" borderId="0" xfId="0" applyNumberFormat="1" applyFill="1" applyAlignment="1">
      <alignment horizontal="center"/>
    </xf>
    <xf numFmtId="9" fontId="0" fillId="0" borderId="0" xfId="1" applyFont="1" applyFill="1" applyBorder="1" applyAlignment="1">
      <alignment horizontal="center"/>
    </xf>
    <xf numFmtId="170" fontId="6" fillId="0" borderId="0" xfId="0" applyNumberFormat="1" applyFont="1" applyAlignment="1">
      <alignment horizontal="center"/>
    </xf>
    <xf numFmtId="0" fontId="23" fillId="6" borderId="0" xfId="0" applyFont="1" applyFill="1"/>
    <xf numFmtId="3" fontId="1" fillId="0" borderId="0" xfId="0" applyNumberFormat="1" applyFont="1" applyFill="1" applyAlignment="1">
      <alignment horizontal="center"/>
    </xf>
    <xf numFmtId="0" fontId="21" fillId="0" borderId="0" xfId="0" applyFont="1"/>
    <xf numFmtId="3" fontId="22" fillId="0" borderId="0" xfId="0" applyNumberFormat="1" applyFont="1" applyFill="1"/>
    <xf numFmtId="3" fontId="21" fillId="0" borderId="0" xfId="0" applyNumberFormat="1" applyFont="1" applyFill="1"/>
    <xf numFmtId="0" fontId="0" fillId="0" borderId="1" xfId="0" applyFill="1" applyBorder="1" applyAlignment="1">
      <alignment horizontal="center"/>
    </xf>
    <xf numFmtId="3" fontId="0" fillId="3" borderId="0" xfId="0" applyNumberFormat="1" applyFill="1" applyAlignment="1">
      <alignment horizontal="center"/>
    </xf>
    <xf numFmtId="0" fontId="13" fillId="0" borderId="0" xfId="0" applyFont="1" applyFill="1"/>
    <xf numFmtId="0" fontId="9" fillId="0" borderId="0" xfId="0" applyFont="1" applyBorder="1"/>
    <xf numFmtId="0" fontId="13" fillId="0" borderId="0" xfId="0" applyFont="1" applyBorder="1"/>
    <xf numFmtId="0" fontId="12" fillId="0" borderId="0" xfId="0" applyFont="1" applyBorder="1"/>
    <xf numFmtId="0" fontId="27" fillId="0" borderId="0" xfId="0" applyFont="1" applyBorder="1"/>
    <xf numFmtId="0" fontId="19" fillId="0" borderId="0" xfId="0" applyFont="1" applyFill="1"/>
    <xf numFmtId="169" fontId="19" fillId="0" borderId="0" xfId="0" applyNumberFormat="1" applyFont="1" applyFill="1" applyAlignment="1">
      <alignment horizontal="center"/>
    </xf>
    <xf numFmtId="0" fontId="12" fillId="0" borderId="0" xfId="0" applyFont="1" applyFill="1"/>
    <xf numFmtId="9" fontId="0" fillId="0" borderId="0" xfId="1" applyFont="1" applyFill="1" applyAlignment="1">
      <alignment horizontal="center"/>
    </xf>
    <xf numFmtId="169" fontId="1" fillId="0" borderId="0" xfId="0" applyNumberFormat="1" applyFont="1" applyFill="1" applyAlignment="1">
      <alignment horizontal="center"/>
    </xf>
    <xf numFmtId="176" fontId="1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right"/>
    </xf>
    <xf numFmtId="0" fontId="12" fillId="2" borderId="0" xfId="0" applyFont="1" applyFill="1" applyAlignment="1">
      <alignment horizontal="right"/>
    </xf>
    <xf numFmtId="0" fontId="12" fillId="2" borderId="0" xfId="0" applyFont="1" applyFill="1" applyAlignment="1">
      <alignment horizontal="center"/>
    </xf>
    <xf numFmtId="0" fontId="12" fillId="2" borderId="0" xfId="0" applyFont="1" applyFill="1" applyBorder="1" applyAlignment="1">
      <alignment horizontal="center"/>
    </xf>
    <xf numFmtId="168" fontId="0" fillId="0" borderId="0" xfId="0" applyNumberFormat="1" applyFill="1" applyBorder="1"/>
    <xf numFmtId="2" fontId="0" fillId="0" borderId="0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70" fontId="0" fillId="0" borderId="1" xfId="0" applyNumberFormat="1" applyFill="1" applyBorder="1" applyAlignment="1">
      <alignment horizontal="center"/>
    </xf>
    <xf numFmtId="170" fontId="1" fillId="0" borderId="0" xfId="0" applyNumberFormat="1" applyFont="1" applyFill="1" applyBorder="1" applyAlignment="1">
      <alignment horizontal="center"/>
    </xf>
    <xf numFmtId="170" fontId="13" fillId="0" borderId="0" xfId="0" applyNumberFormat="1" applyFont="1" applyFill="1" applyAlignment="1">
      <alignment horizontal="center"/>
    </xf>
    <xf numFmtId="170" fontId="12" fillId="0" borderId="0" xfId="0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168" fontId="0" fillId="2" borderId="1" xfId="0" applyNumberFormat="1" applyFill="1" applyBorder="1" applyAlignment="1">
      <alignment horizontal="center"/>
    </xf>
    <xf numFmtId="170" fontId="0" fillId="2" borderId="1" xfId="0" applyNumberFormat="1" applyFill="1" applyBorder="1" applyAlignment="1">
      <alignment horizontal="center"/>
    </xf>
    <xf numFmtId="0" fontId="12" fillId="0" borderId="0" xfId="0" applyFont="1" applyFill="1" applyBorder="1"/>
    <xf numFmtId="0" fontId="0" fillId="0" borderId="2" xfId="0" applyFill="1" applyBorder="1"/>
    <xf numFmtId="0" fontId="23" fillId="0" borderId="1" xfId="0" applyFont="1" applyFill="1" applyBorder="1" applyAlignment="1">
      <alignment horizontal="center"/>
    </xf>
    <xf numFmtId="169" fontId="0" fillId="2" borderId="1" xfId="0" applyNumberFormat="1" applyFill="1" applyBorder="1" applyAlignment="1">
      <alignment horizontal="center"/>
    </xf>
    <xf numFmtId="168" fontId="1" fillId="2" borderId="0" xfId="0" applyNumberFormat="1" applyFont="1" applyFill="1" applyAlignment="1">
      <alignment horizontal="center"/>
    </xf>
    <xf numFmtId="168" fontId="12" fillId="2" borderId="0" xfId="0" applyNumberFormat="1" applyFont="1" applyFill="1" applyAlignment="1">
      <alignment horizontal="center"/>
    </xf>
    <xf numFmtId="9" fontId="1" fillId="0" borderId="0" xfId="1" applyFont="1" applyFill="1" applyAlignment="1">
      <alignment horizontal="center"/>
    </xf>
    <xf numFmtId="9" fontId="4" fillId="0" borderId="0" xfId="1" applyFill="1" applyAlignment="1">
      <alignment horizontal="center"/>
    </xf>
    <xf numFmtId="179" fontId="8" fillId="0" borderId="0" xfId="0" applyNumberFormat="1" applyFont="1" applyFill="1" applyAlignment="1">
      <alignment horizontal="left"/>
    </xf>
    <xf numFmtId="0" fontId="18" fillId="0" borderId="0" xfId="0" applyFont="1" applyFill="1"/>
    <xf numFmtId="0" fontId="0" fillId="0" borderId="4" xfId="0" applyFill="1" applyBorder="1"/>
    <xf numFmtId="182" fontId="0" fillId="0" borderId="0" xfId="0" applyNumberFormat="1" applyBorder="1" applyAlignment="1">
      <alignment horizontal="center"/>
    </xf>
    <xf numFmtId="182" fontId="0" fillId="0" borderId="0" xfId="0" applyNumberFormat="1" applyAlignment="1">
      <alignment horizontal="center"/>
    </xf>
    <xf numFmtId="182" fontId="0" fillId="0" borderId="0" xfId="0" applyNumberFormat="1" applyBorder="1" applyAlignment="1">
      <alignment horizontal="left"/>
    </xf>
    <xf numFmtId="0" fontId="0" fillId="2" borderId="0" xfId="0" applyFill="1" applyBorder="1" applyAlignment="1">
      <alignment horizontal="center"/>
    </xf>
    <xf numFmtId="169" fontId="0" fillId="3" borderId="1" xfId="0" applyNumberFormat="1" applyFill="1" applyBorder="1" applyAlignment="1">
      <alignment horizontal="center"/>
    </xf>
    <xf numFmtId="168" fontId="0" fillId="3" borderId="0" xfId="0" applyNumberFormat="1" applyFill="1" applyAlignment="1">
      <alignment horizontal="center"/>
    </xf>
    <xf numFmtId="182" fontId="0" fillId="0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172" fontId="0" fillId="3" borderId="0" xfId="0" applyNumberFormat="1" applyFill="1" applyAlignment="1">
      <alignment horizontal="center"/>
    </xf>
    <xf numFmtId="182" fontId="0" fillId="0" borderId="0" xfId="0" applyNumberFormat="1" applyFill="1" applyBorder="1" applyAlignment="1">
      <alignment horizontal="center"/>
    </xf>
    <xf numFmtId="170" fontId="12" fillId="3" borderId="0" xfId="0" applyNumberFormat="1" applyFont="1" applyFill="1" applyBorder="1" applyAlignment="1">
      <alignment horizontal="center"/>
    </xf>
    <xf numFmtId="0" fontId="33" fillId="0" borderId="0" xfId="0" applyFont="1" applyFill="1"/>
    <xf numFmtId="0" fontId="10" fillId="0" borderId="0" xfId="0" applyFont="1" applyFill="1" applyBorder="1"/>
    <xf numFmtId="0" fontId="10" fillId="0" borderId="0" xfId="0" applyFont="1" applyFill="1"/>
    <xf numFmtId="9" fontId="0" fillId="3" borderId="0" xfId="1" applyFont="1" applyFill="1" applyBorder="1" applyAlignment="1">
      <alignment horizontal="center"/>
    </xf>
    <xf numFmtId="0" fontId="0" fillId="0" borderId="0" xfId="0" applyAlignment="1">
      <alignment horizontal="left"/>
    </xf>
    <xf numFmtId="169" fontId="4" fillId="0" borderId="0" xfId="0" applyNumberFormat="1" applyFont="1" applyFill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32" fillId="0" borderId="0" xfId="0" applyFont="1" applyFill="1" applyBorder="1"/>
    <xf numFmtId="0" fontId="13" fillId="0" borderId="0" xfId="0" applyFont="1" applyFill="1" applyAlignment="1">
      <alignment horizontal="right"/>
    </xf>
    <xf numFmtId="0" fontId="12" fillId="0" borderId="0" xfId="0" applyFont="1" applyAlignment="1">
      <alignment horizontal="left"/>
    </xf>
    <xf numFmtId="170" fontId="1" fillId="0" borderId="0" xfId="0" applyNumberFormat="1" applyFont="1" applyBorder="1" applyAlignment="1">
      <alignment horizontal="center"/>
    </xf>
    <xf numFmtId="195" fontId="6" fillId="5" borderId="0" xfId="0" applyNumberFormat="1" applyFont="1" applyFill="1" applyAlignment="1">
      <alignment horizontal="center"/>
    </xf>
    <xf numFmtId="0" fontId="9" fillId="0" borderId="0" xfId="0" applyFont="1" applyFill="1" applyBorder="1"/>
    <xf numFmtId="195" fontId="0" fillId="0" borderId="1" xfId="0" applyNumberFormat="1" applyBorder="1" applyAlignment="1">
      <alignment horizontal="center"/>
    </xf>
    <xf numFmtId="195" fontId="0" fillId="0" borderId="1" xfId="0" applyNumberFormat="1" applyBorder="1"/>
    <xf numFmtId="195" fontId="4" fillId="0" borderId="1" xfId="0" applyNumberFormat="1" applyFont="1" applyBorder="1"/>
    <xf numFmtId="195" fontId="0" fillId="0" borderId="1" xfId="0" applyNumberFormat="1" applyFill="1" applyBorder="1"/>
    <xf numFmtId="195" fontId="0" fillId="0" borderId="0" xfId="0" applyNumberFormat="1"/>
    <xf numFmtId="0" fontId="12" fillId="0" borderId="0" xfId="0" applyFont="1" applyBorder="1" applyAlignment="1">
      <alignment horizontal="center"/>
    </xf>
    <xf numFmtId="195" fontId="0" fillId="0" borderId="0" xfId="0" applyNumberFormat="1" applyAlignment="1">
      <alignment horizontal="center"/>
    </xf>
    <xf numFmtId="195" fontId="0" fillId="0" borderId="0" xfId="0" applyNumberFormat="1" applyFill="1" applyAlignment="1">
      <alignment horizontal="center"/>
    </xf>
    <xf numFmtId="0" fontId="23" fillId="7" borderId="0" xfId="0" applyFont="1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/>
    </xf>
    <xf numFmtId="0" fontId="0" fillId="2" borderId="0" xfId="0" applyFill="1"/>
    <xf numFmtId="0" fontId="12" fillId="0" borderId="1" xfId="0" applyFont="1" applyBorder="1" applyAlignment="1">
      <alignment horizontal="center"/>
    </xf>
    <xf numFmtId="4" fontId="0" fillId="0" borderId="0" xfId="0" applyNumberFormat="1" applyAlignment="1">
      <alignment horizontal="center"/>
    </xf>
    <xf numFmtId="168" fontId="0" fillId="2" borderId="0" xfId="0" applyNumberFormat="1" applyFill="1" applyBorder="1" applyAlignment="1">
      <alignment horizontal="center"/>
    </xf>
    <xf numFmtId="2" fontId="0" fillId="3" borderId="0" xfId="0" applyNumberFormat="1" applyFill="1" applyAlignment="1">
      <alignment horizontal="center"/>
    </xf>
    <xf numFmtId="4" fontId="0" fillId="3" borderId="0" xfId="0" applyNumberFormat="1" applyFill="1" applyAlignment="1">
      <alignment horizontal="center"/>
    </xf>
    <xf numFmtId="0" fontId="9" fillId="0" borderId="5" xfId="0" applyFont="1" applyBorder="1"/>
    <xf numFmtId="0" fontId="21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3" fontId="0" fillId="0" borderId="0" xfId="0" applyNumberFormat="1" applyFill="1" applyAlignment="1">
      <alignment horizontal="center"/>
    </xf>
    <xf numFmtId="3" fontId="21" fillId="0" borderId="0" xfId="0" applyNumberFormat="1" applyFont="1" applyFill="1" applyAlignment="1">
      <alignment horizontal="center"/>
    </xf>
    <xf numFmtId="3" fontId="0" fillId="2" borderId="0" xfId="0" applyNumberFormat="1" applyFill="1" applyAlignment="1">
      <alignment horizontal="center"/>
    </xf>
    <xf numFmtId="3" fontId="20" fillId="0" borderId="0" xfId="0" applyNumberFormat="1" applyFont="1" applyFill="1" applyAlignment="1">
      <alignment horizontal="center"/>
    </xf>
    <xf numFmtId="3" fontId="9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3" fontId="8" fillId="0" borderId="0" xfId="0" applyNumberFormat="1" applyFont="1" applyFill="1" applyAlignment="1">
      <alignment horizontal="center"/>
    </xf>
    <xf numFmtId="9" fontId="1" fillId="0" borderId="0" xfId="1" applyFon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9" fontId="0" fillId="0" borderId="0" xfId="0" applyNumberForma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6" fillId="0" borderId="0" xfId="0" applyNumberFormat="1" applyFont="1" applyFill="1" applyAlignment="1">
      <alignment horizontal="center"/>
    </xf>
    <xf numFmtId="170" fontId="0" fillId="0" borderId="3" xfId="0" applyNumberFormat="1" applyFill="1" applyBorder="1" applyAlignment="1">
      <alignment horizontal="center"/>
    </xf>
    <xf numFmtId="170" fontId="4" fillId="0" borderId="0" xfId="0" applyNumberFormat="1" applyFont="1" applyFill="1" applyAlignment="1">
      <alignment horizontal="center"/>
    </xf>
    <xf numFmtId="170" fontId="4" fillId="0" borderId="1" xfId="0" applyNumberFormat="1" applyFont="1" applyFill="1" applyBorder="1" applyAlignment="1">
      <alignment horizontal="center"/>
    </xf>
    <xf numFmtId="170" fontId="12" fillId="0" borderId="0" xfId="0" applyNumberFormat="1" applyFont="1" applyFill="1" applyAlignment="1">
      <alignment horizontal="center"/>
    </xf>
    <xf numFmtId="203" fontId="0" fillId="3" borderId="0" xfId="0" applyNumberFormat="1" applyFill="1" applyAlignment="1">
      <alignment horizontal="right"/>
    </xf>
    <xf numFmtId="9" fontId="4" fillId="0" borderId="0" xfId="1" applyFill="1" applyBorder="1" applyAlignment="1">
      <alignment horizontal="center"/>
    </xf>
    <xf numFmtId="0" fontId="12" fillId="2" borderId="0" xfId="0" applyFont="1" applyFill="1" applyAlignment="1">
      <alignment horizontal="left"/>
    </xf>
    <xf numFmtId="0" fontId="0" fillId="0" borderId="6" xfId="0" applyFill="1" applyBorder="1"/>
    <xf numFmtId="0" fontId="0" fillId="0" borderId="7" xfId="0" applyFill="1" applyBorder="1"/>
    <xf numFmtId="0" fontId="0" fillId="0" borderId="6" xfId="0" applyBorder="1" applyAlignment="1">
      <alignment horizontal="center"/>
    </xf>
    <xf numFmtId="0" fontId="9" fillId="0" borderId="8" xfId="0" applyFont="1" applyBorder="1"/>
    <xf numFmtId="0" fontId="0" fillId="0" borderId="1" xfId="0" applyFill="1" applyBorder="1"/>
    <xf numFmtId="9" fontId="0" fillId="0" borderId="1" xfId="1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9" fontId="4" fillId="0" borderId="2" xfId="1" applyFont="1" applyFill="1" applyBorder="1" applyAlignment="1">
      <alignment horizontal="center"/>
    </xf>
    <xf numFmtId="1" fontId="1" fillId="0" borderId="0" xfId="0" applyNumberFormat="1" applyFont="1" applyFill="1" applyAlignment="1">
      <alignment horizontal="center"/>
    </xf>
    <xf numFmtId="169" fontId="13" fillId="0" borderId="0" xfId="0" applyNumberFormat="1" applyFont="1" applyFill="1" applyAlignment="1">
      <alignment horizontal="center"/>
    </xf>
    <xf numFmtId="0" fontId="0" fillId="0" borderId="3" xfId="0" applyFill="1" applyBorder="1" applyAlignment="1">
      <alignment horizontal="center"/>
    </xf>
    <xf numFmtId="1" fontId="12" fillId="0" borderId="0" xfId="0" applyNumberFormat="1" applyFont="1" applyFill="1" applyAlignment="1">
      <alignment horizontal="center"/>
    </xf>
    <xf numFmtId="0" fontId="13" fillId="0" borderId="0" xfId="0" applyFont="1" applyFill="1" applyBorder="1"/>
    <xf numFmtId="204" fontId="0" fillId="0" borderId="0" xfId="0" applyNumberFormat="1" applyFill="1" applyBorder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205" fontId="0" fillId="0" borderId="0" xfId="0" applyNumberFormat="1" applyFill="1" applyBorder="1" applyAlignment="1">
      <alignment horizontal="center"/>
    </xf>
    <xf numFmtId="0" fontId="27" fillId="0" borderId="0" xfId="0" applyFont="1"/>
    <xf numFmtId="195" fontId="27" fillId="0" borderId="0" xfId="0" applyNumberFormat="1" applyFont="1" applyAlignment="1">
      <alignment horizontal="center"/>
    </xf>
    <xf numFmtId="9" fontId="12" fillId="0" borderId="0" xfId="1" applyFont="1" applyFill="1" applyAlignment="1">
      <alignment horizontal="left"/>
    </xf>
    <xf numFmtId="0" fontId="4" fillId="0" borderId="0" xfId="0" applyFont="1" applyFill="1" applyAlignment="1">
      <alignment horizontal="right"/>
    </xf>
    <xf numFmtId="1" fontId="4" fillId="0" borderId="0" xfId="0" applyNumberFormat="1" applyFont="1" applyFill="1" applyAlignment="1">
      <alignment horizontal="left"/>
    </xf>
    <xf numFmtId="185" fontId="12" fillId="0" borderId="0" xfId="0" applyNumberFormat="1" applyFont="1" applyAlignment="1">
      <alignment horizontal="center"/>
    </xf>
    <xf numFmtId="188" fontId="0" fillId="0" borderId="0" xfId="0" applyNumberFormat="1" applyFill="1" applyAlignment="1">
      <alignment horizontal="center"/>
    </xf>
    <xf numFmtId="10" fontId="0" fillId="0" borderId="0" xfId="1" applyNumberFormat="1" applyFont="1" applyFill="1" applyAlignment="1">
      <alignment horizontal="center"/>
    </xf>
    <xf numFmtId="170" fontId="13" fillId="0" borderId="1" xfId="0" applyNumberFormat="1" applyFont="1" applyFill="1" applyBorder="1" applyAlignment="1">
      <alignment horizontal="center"/>
    </xf>
    <xf numFmtId="170" fontId="2" fillId="0" borderId="0" xfId="0" applyNumberFormat="1" applyFont="1" applyFill="1" applyAlignment="1">
      <alignment horizontal="center"/>
    </xf>
    <xf numFmtId="9" fontId="13" fillId="0" borderId="0" xfId="1" applyFont="1" applyFill="1" applyAlignment="1">
      <alignment horizontal="center"/>
    </xf>
    <xf numFmtId="207" fontId="0" fillId="3" borderId="0" xfId="0" applyNumberFormat="1" applyFill="1" applyAlignment="1">
      <alignment horizontal="center"/>
    </xf>
    <xf numFmtId="203" fontId="0" fillId="0" borderId="0" xfId="0" applyNumberFormat="1" applyFill="1" applyAlignment="1">
      <alignment horizontal="right"/>
    </xf>
    <xf numFmtId="168" fontId="12" fillId="3" borderId="0" xfId="0" applyNumberFormat="1" applyFont="1" applyFill="1" applyAlignment="1">
      <alignment horizontal="center"/>
    </xf>
    <xf numFmtId="195" fontId="41" fillId="0" borderId="1" xfId="0" applyNumberFormat="1" applyFont="1" applyBorder="1" applyAlignment="1">
      <alignment horizontal="center"/>
    </xf>
    <xf numFmtId="180" fontId="4" fillId="0" borderId="0" xfId="0" applyNumberFormat="1" applyFont="1" applyFill="1" applyAlignment="1">
      <alignment horizontal="left"/>
    </xf>
    <xf numFmtId="170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right"/>
    </xf>
    <xf numFmtId="0" fontId="12" fillId="0" borderId="0" xfId="0" applyFont="1" applyBorder="1" applyAlignment="1">
      <alignment horizontal="left"/>
    </xf>
    <xf numFmtId="170" fontId="13" fillId="0" borderId="0" xfId="0" applyNumberFormat="1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213" fontId="0" fillId="3" borderId="0" xfId="0" applyNumberFormat="1" applyFill="1" applyBorder="1" applyAlignment="1">
      <alignment horizontal="center"/>
    </xf>
    <xf numFmtId="49" fontId="19" fillId="0" borderId="0" xfId="0" applyNumberFormat="1" applyFont="1" applyFill="1" applyAlignment="1">
      <alignment horizontal="center" vertical="center"/>
    </xf>
    <xf numFmtId="0" fontId="23" fillId="7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3" fillId="7" borderId="0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49" fontId="8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195" fontId="6" fillId="0" borderId="0" xfId="0" applyNumberFormat="1" applyFont="1" applyFill="1" applyBorder="1" applyAlignment="1">
      <alignment horizontal="center"/>
    </xf>
    <xf numFmtId="0" fontId="37" fillId="3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166" fontId="1" fillId="3" borderId="0" xfId="0" applyNumberFormat="1" applyFont="1" applyFill="1" applyAlignment="1">
      <alignment horizontal="center"/>
    </xf>
    <xf numFmtId="182" fontId="12" fillId="3" borderId="0" xfId="0" applyNumberFormat="1" applyFont="1" applyFill="1" applyAlignment="1">
      <alignment horizontal="center"/>
    </xf>
    <xf numFmtId="9" fontId="12" fillId="3" borderId="0" xfId="1" applyFont="1" applyFill="1" applyAlignment="1">
      <alignment horizontal="center"/>
    </xf>
    <xf numFmtId="170" fontId="1" fillId="3" borderId="0" xfId="0" applyNumberFormat="1" applyFont="1" applyFill="1" applyBorder="1" applyAlignment="1">
      <alignment horizontal="center"/>
    </xf>
    <xf numFmtId="175" fontId="1" fillId="3" borderId="0" xfId="1" applyNumberFormat="1" applyFont="1" applyFill="1" applyBorder="1" applyAlignment="1">
      <alignment horizontal="center"/>
    </xf>
    <xf numFmtId="215" fontId="12" fillId="3" borderId="0" xfId="0" applyNumberFormat="1" applyFont="1" applyFill="1" applyAlignment="1">
      <alignment horizontal="center"/>
    </xf>
    <xf numFmtId="210" fontId="0" fillId="3" borderId="0" xfId="0" applyNumberFormat="1" applyFill="1" applyAlignment="1">
      <alignment horizontal="center"/>
    </xf>
    <xf numFmtId="0" fontId="0" fillId="0" borderId="9" xfId="0" applyFill="1" applyBorder="1" applyAlignment="1">
      <alignment horizontal="center"/>
    </xf>
    <xf numFmtId="0" fontId="1" fillId="0" borderId="6" xfId="0" applyFont="1" applyFill="1" applyBorder="1"/>
    <xf numFmtId="187" fontId="4" fillId="3" borderId="2" xfId="0" applyNumberFormat="1" applyFont="1" applyFill="1" applyBorder="1" applyAlignment="1">
      <alignment horizontal="center"/>
    </xf>
    <xf numFmtId="187" fontId="0" fillId="3" borderId="2" xfId="0" applyNumberFormat="1" applyFill="1" applyBorder="1" applyAlignment="1">
      <alignment horizontal="center"/>
    </xf>
    <xf numFmtId="201" fontId="0" fillId="3" borderId="10" xfId="0" applyNumberFormat="1" applyFill="1" applyBorder="1" applyAlignment="1">
      <alignment horizontal="center"/>
    </xf>
    <xf numFmtId="201" fontId="0" fillId="3" borderId="2" xfId="0" applyNumberFormat="1" applyFill="1" applyBorder="1" applyAlignment="1">
      <alignment horizontal="center"/>
    </xf>
    <xf numFmtId="192" fontId="0" fillId="0" borderId="0" xfId="0" applyNumberFormat="1" applyFill="1" applyAlignment="1">
      <alignment horizontal="center"/>
    </xf>
    <xf numFmtId="195" fontId="1" fillId="0" borderId="0" xfId="0" applyNumberFormat="1" applyFont="1" applyFill="1" applyAlignment="1">
      <alignment horizontal="center"/>
    </xf>
    <xf numFmtId="169" fontId="2" fillId="0" borderId="0" xfId="0" applyNumberFormat="1" applyFont="1" applyFill="1" applyBorder="1" applyAlignment="1">
      <alignment horizontal="center"/>
    </xf>
    <xf numFmtId="9" fontId="4" fillId="0" borderId="2" xfId="1" applyFill="1" applyBorder="1" applyAlignment="1">
      <alignment horizontal="center"/>
    </xf>
    <xf numFmtId="9" fontId="0" fillId="0" borderId="0" xfId="1" applyFont="1" applyFill="1"/>
    <xf numFmtId="180" fontId="0" fillId="0" borderId="0" xfId="0" applyNumberFormat="1" applyFill="1" applyAlignment="1">
      <alignment horizontal="center"/>
    </xf>
    <xf numFmtId="0" fontId="23" fillId="8" borderId="0" xfId="0" applyFont="1" applyFill="1"/>
    <xf numFmtId="9" fontId="4" fillId="0" borderId="0" xfId="1" applyFill="1"/>
    <xf numFmtId="10" fontId="4" fillId="0" borderId="0" xfId="1" applyNumberFormat="1" applyFill="1" applyAlignment="1">
      <alignment horizontal="center"/>
    </xf>
    <xf numFmtId="218" fontId="0" fillId="3" borderId="0" xfId="0" applyNumberFormat="1" applyFill="1" applyAlignment="1">
      <alignment horizontal="center"/>
    </xf>
    <xf numFmtId="49" fontId="4" fillId="0" borderId="0" xfId="0" applyNumberFormat="1" applyFont="1" applyFill="1" applyAlignment="1">
      <alignment vertical="center" wrapText="1"/>
    </xf>
    <xf numFmtId="0" fontId="9" fillId="0" borderId="0" xfId="0" applyFont="1" applyFill="1" applyBorder="1" applyAlignment="1">
      <alignment horizontal="center"/>
    </xf>
    <xf numFmtId="180" fontId="12" fillId="0" borderId="0" xfId="0" applyNumberFormat="1" applyFont="1" applyFill="1" applyAlignment="1">
      <alignment horizontal="center"/>
    </xf>
    <xf numFmtId="181" fontId="0" fillId="0" borderId="0" xfId="0" applyNumberFormat="1" applyFill="1" applyAlignment="1">
      <alignment horizontal="center"/>
    </xf>
    <xf numFmtId="0" fontId="12" fillId="3" borderId="0" xfId="0" applyFont="1" applyFill="1" applyAlignment="1">
      <alignment horizontal="left"/>
    </xf>
    <xf numFmtId="0" fontId="0" fillId="0" borderId="0" xfId="0" applyAlignment="1">
      <alignment horizontal="left" wrapText="1"/>
    </xf>
    <xf numFmtId="216" fontId="12" fillId="3" borderId="11" xfId="0" applyNumberFormat="1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187" fontId="4" fillId="3" borderId="13" xfId="0" applyNumberFormat="1" applyFont="1" applyFill="1" applyBorder="1" applyAlignment="1">
      <alignment horizontal="center"/>
    </xf>
    <xf numFmtId="187" fontId="0" fillId="3" borderId="13" xfId="0" applyNumberFormat="1" applyFill="1" applyBorder="1" applyAlignment="1">
      <alignment horizontal="center"/>
    </xf>
    <xf numFmtId="202" fontId="1" fillId="3" borderId="13" xfId="0" applyNumberFormat="1" applyFont="1" applyFill="1" applyBorder="1" applyAlignment="1">
      <alignment horizontal="center"/>
    </xf>
    <xf numFmtId="0" fontId="0" fillId="0" borderId="14" xfId="0" applyBorder="1"/>
    <xf numFmtId="0" fontId="0" fillId="0" borderId="5" xfId="0" applyBorder="1" applyAlignment="1">
      <alignment horizontal="right"/>
    </xf>
    <xf numFmtId="0" fontId="0" fillId="0" borderId="15" xfId="0" applyFill="1" applyBorder="1" applyAlignment="1">
      <alignment horizontal="right"/>
    </xf>
    <xf numFmtId="0" fontId="1" fillId="0" borderId="5" xfId="0" applyFont="1" applyFill="1" applyBorder="1"/>
    <xf numFmtId="0" fontId="12" fillId="0" borderId="15" xfId="0" applyFont="1" applyBorder="1"/>
    <xf numFmtId="182" fontId="0" fillId="2" borderId="0" xfId="0" applyNumberFormat="1" applyFill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9" fontId="0" fillId="0" borderId="0" xfId="0" applyNumberFormat="1" applyAlignment="1">
      <alignment wrapText="1"/>
    </xf>
    <xf numFmtId="170" fontId="13" fillId="0" borderId="0" xfId="0" applyNumberFormat="1" applyFont="1" applyFill="1" applyAlignment="1">
      <alignment horizontal="center" vertical="center"/>
    </xf>
    <xf numFmtId="9" fontId="4" fillId="0" borderId="2" xfId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vertical="center"/>
    </xf>
    <xf numFmtId="9" fontId="0" fillId="0" borderId="0" xfId="0" applyNumberFormat="1" applyFill="1" applyAlignment="1">
      <alignment horizontal="center"/>
    </xf>
    <xf numFmtId="0" fontId="12" fillId="0" borderId="0" xfId="0" applyFont="1" applyAlignment="1">
      <alignment vertical="center" wrapText="1"/>
    </xf>
    <xf numFmtId="170" fontId="12" fillId="0" borderId="0" xfId="0" applyNumberFormat="1" applyFont="1" applyFill="1" applyAlignment="1">
      <alignment horizontal="center" vertical="center"/>
    </xf>
    <xf numFmtId="182" fontId="13" fillId="2" borderId="0" xfId="0" applyNumberFormat="1" applyFont="1" applyFill="1" applyAlignment="1">
      <alignment horizontal="center"/>
    </xf>
    <xf numFmtId="0" fontId="12" fillId="0" borderId="0" xfId="0" applyFont="1" applyAlignment="1"/>
    <xf numFmtId="0" fontId="12" fillId="3" borderId="0" xfId="0" applyFont="1" applyFill="1" applyBorder="1" applyAlignment="1">
      <alignment horizontal="center"/>
    </xf>
    <xf numFmtId="210" fontId="0" fillId="3" borderId="0" xfId="0" applyNumberFormat="1" applyFill="1"/>
    <xf numFmtId="0" fontId="27" fillId="0" borderId="0" xfId="0" applyFont="1" applyFill="1"/>
    <xf numFmtId="169" fontId="13" fillId="0" borderId="0" xfId="0" applyNumberFormat="1" applyFont="1"/>
    <xf numFmtId="169" fontId="13" fillId="0" borderId="0" xfId="0" applyNumberFormat="1" applyFont="1" applyFill="1"/>
    <xf numFmtId="169" fontId="12" fillId="0" borderId="0" xfId="0" applyNumberFormat="1" applyFont="1"/>
    <xf numFmtId="169" fontId="12" fillId="0" borderId="0" xfId="0" applyNumberFormat="1" applyFont="1" applyFill="1"/>
    <xf numFmtId="170" fontId="0" fillId="0" borderId="0" xfId="1" applyNumberFormat="1" applyFont="1" applyFill="1"/>
    <xf numFmtId="0" fontId="0" fillId="3" borderId="0" xfId="0" applyFill="1" applyBorder="1" applyAlignment="1">
      <alignment wrapText="1"/>
    </xf>
    <xf numFmtId="9" fontId="0" fillId="3" borderId="0" xfId="0" applyNumberFormat="1" applyFill="1" applyBorder="1" applyAlignment="1">
      <alignment wrapText="1"/>
    </xf>
    <xf numFmtId="0" fontId="1" fillId="3" borderId="0" xfId="0" applyFont="1" applyFill="1" applyBorder="1" applyAlignment="1">
      <alignment wrapText="1"/>
    </xf>
    <xf numFmtId="182" fontId="12" fillId="2" borderId="0" xfId="0" applyNumberFormat="1" applyFont="1" applyFill="1" applyAlignment="1">
      <alignment horizontal="center"/>
    </xf>
    <xf numFmtId="189" fontId="39" fillId="0" borderId="0" xfId="0" applyNumberFormat="1" applyFont="1" applyFill="1" applyBorder="1" applyAlignment="1">
      <alignment horizontal="right"/>
    </xf>
    <xf numFmtId="195" fontId="0" fillId="0" borderId="4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170" fontId="13" fillId="2" borderId="0" xfId="0" applyNumberFormat="1" applyFont="1" applyFill="1" applyAlignment="1">
      <alignment horizontal="center"/>
    </xf>
    <xf numFmtId="0" fontId="13" fillId="3" borderId="0" xfId="0" applyFont="1" applyFill="1" applyBorder="1"/>
    <xf numFmtId="0" fontId="4" fillId="2" borderId="0" xfId="0" applyFont="1" applyFill="1" applyBorder="1" applyAlignment="1">
      <alignment horizontal="center"/>
    </xf>
    <xf numFmtId="175" fontId="13" fillId="0" borderId="0" xfId="1" applyNumberFormat="1" applyFont="1" applyFill="1" applyBorder="1" applyAlignment="1" applyProtection="1">
      <alignment horizontal="center" vertical="center"/>
    </xf>
    <xf numFmtId="175" fontId="12" fillId="0" borderId="0" xfId="1" applyNumberFormat="1" applyFont="1" applyFill="1" applyBorder="1" applyAlignment="1" applyProtection="1">
      <alignment horizontal="center" vertical="center"/>
    </xf>
    <xf numFmtId="175" fontId="0" fillId="0" borderId="0" xfId="0" applyNumberFormat="1" applyFill="1" applyAlignment="1">
      <alignment vertical="center"/>
    </xf>
    <xf numFmtId="0" fontId="12" fillId="0" borderId="0" xfId="0" applyFont="1" applyFill="1" applyAlignment="1">
      <alignment vertical="center"/>
    </xf>
    <xf numFmtId="0" fontId="9" fillId="0" borderId="0" xfId="0" applyFont="1" applyAlignment="1">
      <alignment horizontal="right" vertical="center"/>
    </xf>
    <xf numFmtId="0" fontId="23" fillId="0" borderId="0" xfId="0" applyFont="1" applyFill="1" applyBorder="1" applyAlignment="1">
      <alignment horizontal="center"/>
    </xf>
    <xf numFmtId="49" fontId="23" fillId="0" borderId="0" xfId="0" applyNumberFormat="1" applyFont="1" applyFill="1" applyBorder="1" applyAlignment="1">
      <alignment horizontal="center"/>
    </xf>
    <xf numFmtId="0" fontId="12" fillId="0" borderId="0" xfId="0" applyFont="1" applyBorder="1" applyAlignment="1">
      <alignment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23" fillId="8" borderId="0" xfId="0" applyNumberFormat="1" applyFont="1" applyFill="1" applyBorder="1" applyAlignment="1">
      <alignment horizontal="center" vertical="center"/>
    </xf>
    <xf numFmtId="183" fontId="13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vertical="center"/>
    </xf>
    <xf numFmtId="170" fontId="6" fillId="0" borderId="0" xfId="0" applyNumberFormat="1" applyFont="1" applyFill="1" applyAlignment="1">
      <alignment horizontal="center" vertical="center"/>
    </xf>
    <xf numFmtId="175" fontId="9" fillId="0" borderId="0" xfId="1" applyNumberFormat="1" applyFont="1" applyFill="1" applyBorder="1" applyAlignment="1" applyProtection="1">
      <alignment horizontal="center" vertical="center"/>
    </xf>
    <xf numFmtId="170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49" fontId="9" fillId="0" borderId="0" xfId="0" applyNumberFormat="1" applyFont="1" applyFill="1" applyAlignment="1">
      <alignment horizontal="right" vertical="center" wrapText="1"/>
    </xf>
    <xf numFmtId="175" fontId="6" fillId="0" borderId="0" xfId="1" applyNumberFormat="1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right"/>
    </xf>
    <xf numFmtId="200" fontId="9" fillId="0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175" fontId="13" fillId="9" borderId="0" xfId="1" applyNumberFormat="1" applyFont="1" applyFill="1" applyBorder="1" applyAlignment="1" applyProtection="1">
      <alignment horizontal="center" vertical="center"/>
    </xf>
    <xf numFmtId="175" fontId="9" fillId="0" borderId="0" xfId="1" applyNumberFormat="1" applyFont="1" applyFill="1" applyBorder="1" applyAlignment="1" applyProtection="1">
      <alignment horizontal="center"/>
    </xf>
    <xf numFmtId="0" fontId="9" fillId="0" borderId="0" xfId="0" applyFont="1" applyFill="1" applyAlignment="1">
      <alignment horizontal="left" vertical="center" wrapText="1"/>
    </xf>
    <xf numFmtId="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175" fontId="12" fillId="9" borderId="0" xfId="1" applyNumberFormat="1" applyFont="1" applyFill="1" applyBorder="1" applyAlignment="1" applyProtection="1">
      <alignment horizontal="center" vertical="center"/>
    </xf>
    <xf numFmtId="175" fontId="0" fillId="0" borderId="0" xfId="0" applyNumberFormat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49" fontId="23" fillId="8" borderId="3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/>
    </xf>
    <xf numFmtId="49" fontId="12" fillId="0" borderId="0" xfId="0" applyNumberFormat="1" applyFont="1" applyFill="1" applyAlignment="1"/>
    <xf numFmtId="9" fontId="0" fillId="0" borderId="0" xfId="1" applyFont="1" applyAlignment="1">
      <alignment horizontal="center"/>
    </xf>
    <xf numFmtId="0" fontId="0" fillId="0" borderId="0" xfId="0" applyBorder="1" applyAlignment="1">
      <alignment horizontal="right"/>
    </xf>
    <xf numFmtId="9" fontId="0" fillId="0" borderId="1" xfId="1" applyFont="1" applyBorder="1" applyAlignment="1">
      <alignment horizontal="center"/>
    </xf>
    <xf numFmtId="195" fontId="12" fillId="0" borderId="0" xfId="0" applyNumberFormat="1" applyFont="1" applyAlignment="1">
      <alignment horizontal="center"/>
    </xf>
    <xf numFmtId="175" fontId="13" fillId="0" borderId="0" xfId="1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vertical="center" wrapText="1"/>
    </xf>
    <xf numFmtId="195" fontId="12" fillId="0" borderId="0" xfId="0" applyNumberFormat="1" applyFont="1" applyFill="1" applyAlignment="1">
      <alignment horizontal="center" vertical="center" wrapText="1"/>
    </xf>
    <xf numFmtId="195" fontId="12" fillId="0" borderId="3" xfId="0" applyNumberFormat="1" applyFont="1" applyFill="1" applyBorder="1" applyAlignment="1">
      <alignment horizontal="center" vertical="center" wrapText="1"/>
    </xf>
    <xf numFmtId="9" fontId="19" fillId="0" borderId="0" xfId="1" applyFont="1" applyFill="1" applyBorder="1" applyAlignment="1" applyProtection="1">
      <alignment horizontal="center" vertical="center" wrapText="1"/>
    </xf>
    <xf numFmtId="0" fontId="13" fillId="0" borderId="0" xfId="0" applyFont="1" applyFill="1" applyAlignment="1">
      <alignment vertical="center"/>
    </xf>
    <xf numFmtId="0" fontId="13" fillId="0" borderId="3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9" fontId="0" fillId="0" borderId="0" xfId="0" applyNumberFormat="1" applyAlignment="1">
      <alignment horizontal="center"/>
    </xf>
    <xf numFmtId="195" fontId="12" fillId="0" borderId="0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Alignment="1">
      <alignment horizontal="left" vertical="center" wrapText="1"/>
    </xf>
    <xf numFmtId="195" fontId="12" fillId="0" borderId="0" xfId="0" applyNumberFormat="1" applyFont="1" applyAlignment="1">
      <alignment horizontal="center" vertical="center"/>
    </xf>
    <xf numFmtId="195" fontId="12" fillId="0" borderId="3" xfId="0" applyNumberFormat="1" applyFont="1" applyBorder="1" applyAlignment="1">
      <alignment horizontal="center"/>
    </xf>
    <xf numFmtId="195" fontId="12" fillId="0" borderId="0" xfId="0" applyNumberFormat="1" applyFont="1" applyBorder="1" applyAlignment="1">
      <alignment horizontal="center"/>
    </xf>
    <xf numFmtId="9" fontId="13" fillId="0" borderId="0" xfId="0" applyNumberFormat="1" applyFont="1" applyAlignment="1">
      <alignment horizontal="center" vertical="center"/>
    </xf>
    <xf numFmtId="9" fontId="13" fillId="0" borderId="0" xfId="0" applyNumberFormat="1" applyFont="1" applyAlignment="1">
      <alignment horizontal="center"/>
    </xf>
    <xf numFmtId="175" fontId="19" fillId="0" borderId="0" xfId="1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vertical="center"/>
    </xf>
    <xf numFmtId="195" fontId="12" fillId="0" borderId="3" xfId="0" applyNumberFormat="1" applyFont="1" applyBorder="1" applyAlignment="1">
      <alignment horizontal="center" vertical="center"/>
    </xf>
    <xf numFmtId="0" fontId="12" fillId="0" borderId="1" xfId="0" applyFont="1" applyBorder="1"/>
    <xf numFmtId="195" fontId="12" fillId="0" borderId="1" xfId="0" applyNumberFormat="1" applyFont="1" applyFill="1" applyBorder="1" applyAlignment="1">
      <alignment horizontal="center" vertical="center" wrapText="1"/>
    </xf>
    <xf numFmtId="195" fontId="13" fillId="0" borderId="0" xfId="0" applyNumberFormat="1" applyFont="1" applyFill="1" applyAlignment="1">
      <alignment horizontal="center" vertical="center" wrapText="1"/>
    </xf>
    <xf numFmtId="9" fontId="12" fillId="0" borderId="0" xfId="1" applyFont="1" applyAlignment="1">
      <alignment horizontal="center"/>
    </xf>
    <xf numFmtId="0" fontId="0" fillId="2" borderId="0" xfId="0" applyFill="1" applyAlignment="1">
      <alignment horizontal="center" vertical="center" wrapText="1"/>
    </xf>
    <xf numFmtId="170" fontId="13" fillId="0" borderId="0" xfId="1" applyNumberFormat="1" applyFont="1" applyBorder="1" applyAlignment="1">
      <alignment horizontal="center" vertical="center"/>
    </xf>
    <xf numFmtId="49" fontId="9" fillId="0" borderId="0" xfId="0" applyNumberFormat="1" applyFont="1" applyFill="1" applyAlignment="1">
      <alignment horizontal="left" vertical="center" wrapText="1"/>
    </xf>
    <xf numFmtId="195" fontId="13" fillId="0" borderId="3" xfId="0" applyNumberFormat="1" applyFont="1" applyBorder="1" applyAlignment="1">
      <alignment horizontal="center" vertical="center"/>
    </xf>
    <xf numFmtId="170" fontId="13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195" fontId="13" fillId="0" borderId="0" xfId="0" applyNumberFormat="1" applyFont="1" applyAlignment="1">
      <alignment horizontal="center" vertical="center"/>
    </xf>
    <xf numFmtId="0" fontId="12" fillId="0" borderId="3" xfId="0" applyFont="1" applyBorder="1" applyAlignment="1">
      <alignment vertical="center"/>
    </xf>
    <xf numFmtId="195" fontId="13" fillId="0" borderId="0" xfId="0" applyNumberFormat="1" applyFont="1" applyBorder="1" applyAlignment="1">
      <alignment horizontal="center" vertical="center"/>
    </xf>
    <xf numFmtId="2" fontId="9" fillId="0" borderId="0" xfId="0" applyNumberFormat="1" applyFont="1"/>
    <xf numFmtId="195" fontId="13" fillId="0" borderId="16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Fill="1" applyAlignment="1">
      <alignment horizontal="left" vertical="center"/>
    </xf>
    <xf numFmtId="195" fontId="0" fillId="0" borderId="0" xfId="0" applyNumberFormat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12" fillId="9" borderId="17" xfId="0" applyFont="1" applyFill="1" applyBorder="1"/>
    <xf numFmtId="0" fontId="0" fillId="0" borderId="18" xfId="0" applyBorder="1"/>
    <xf numFmtId="0" fontId="0" fillId="0" borderId="10" xfId="0" applyBorder="1"/>
    <xf numFmtId="0" fontId="0" fillId="9" borderId="19" xfId="0" applyFill="1" applyBorder="1" applyAlignment="1">
      <alignment horizontal="right"/>
    </xf>
    <xf numFmtId="227" fontId="0" fillId="0" borderId="0" xfId="0" applyNumberFormat="1" applyBorder="1" applyAlignment="1">
      <alignment horizontal="center"/>
    </xf>
    <xf numFmtId="227" fontId="0" fillId="0" borderId="2" xfId="0" applyNumberFormat="1" applyBorder="1" applyAlignment="1">
      <alignment horizontal="center"/>
    </xf>
    <xf numFmtId="0" fontId="0" fillId="0" borderId="19" xfId="0" applyBorder="1"/>
    <xf numFmtId="0" fontId="12" fillId="9" borderId="19" xfId="0" applyFont="1" applyFill="1" applyBorder="1"/>
    <xf numFmtId="1" fontId="0" fillId="0" borderId="0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" fontId="12" fillId="0" borderId="0" xfId="0" applyNumberFormat="1" applyFont="1" applyBorder="1" applyAlignment="1">
      <alignment horizontal="center"/>
    </xf>
    <xf numFmtId="1" fontId="12" fillId="0" borderId="2" xfId="0" applyNumberFormat="1" applyFont="1" applyBorder="1" applyAlignment="1">
      <alignment horizontal="center"/>
    </xf>
    <xf numFmtId="0" fontId="0" fillId="0" borderId="20" xfId="0" applyBorder="1" applyAlignment="1">
      <alignment vertical="center" wrapText="1"/>
    </xf>
    <xf numFmtId="1" fontId="0" fillId="0" borderId="1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95" fontId="13" fillId="0" borderId="1" xfId="0" applyNumberFormat="1" applyFont="1" applyBorder="1" applyAlignment="1">
      <alignment horizontal="center"/>
    </xf>
    <xf numFmtId="169" fontId="4" fillId="2" borderId="0" xfId="0" applyNumberFormat="1" applyFont="1" applyFill="1" applyBorder="1" applyAlignment="1">
      <alignment horizontal="center"/>
    </xf>
    <xf numFmtId="170" fontId="1" fillId="2" borderId="0" xfId="0" applyNumberFormat="1" applyFont="1" applyFill="1" applyBorder="1" applyAlignment="1">
      <alignment horizontal="center"/>
    </xf>
    <xf numFmtId="3" fontId="0" fillId="0" borderId="0" xfId="0" applyNumberFormat="1" applyFill="1"/>
    <xf numFmtId="1" fontId="0" fillId="0" borderId="0" xfId="0" applyNumberFormat="1" applyBorder="1"/>
    <xf numFmtId="1" fontId="9" fillId="0" borderId="0" xfId="0" applyNumberFormat="1" applyFont="1" applyBorder="1"/>
    <xf numFmtId="1" fontId="10" fillId="0" borderId="0" xfId="0" applyNumberFormat="1" applyFont="1" applyBorder="1"/>
    <xf numFmtId="1" fontId="0" fillId="0" borderId="0" xfId="0" applyNumberFormat="1" applyFill="1" applyBorder="1"/>
    <xf numFmtId="1" fontId="10" fillId="0" borderId="0" xfId="0" applyNumberFormat="1" applyFont="1" applyFill="1" applyBorder="1"/>
    <xf numFmtId="0" fontId="56" fillId="0" borderId="0" xfId="0" applyFont="1"/>
    <xf numFmtId="228" fontId="0" fillId="0" borderId="0" xfId="0" applyNumberFormat="1"/>
    <xf numFmtId="0" fontId="19" fillId="0" borderId="0" xfId="0" applyFont="1" applyFill="1" applyAlignment="1">
      <alignment horizontal="left"/>
    </xf>
    <xf numFmtId="0" fontId="0" fillId="10" borderId="0" xfId="0" applyFill="1" applyAlignment="1">
      <alignment horizontal="center"/>
    </xf>
    <xf numFmtId="168" fontId="0" fillId="0" borderId="0" xfId="0" applyNumberFormat="1"/>
    <xf numFmtId="0" fontId="6" fillId="0" borderId="0" xfId="0" applyFont="1" applyFill="1" applyAlignment="1">
      <alignment vertical="center"/>
    </xf>
    <xf numFmtId="0" fontId="0" fillId="11" borderId="0" xfId="0" applyFill="1"/>
    <xf numFmtId="0" fontId="44" fillId="11" borderId="0" xfId="0" applyFont="1" applyFill="1"/>
    <xf numFmtId="0" fontId="5" fillId="11" borderId="0" xfId="0" applyFont="1" applyFill="1"/>
    <xf numFmtId="0" fontId="0" fillId="11" borderId="0" xfId="0" applyFill="1" applyAlignment="1">
      <alignment horizontal="left"/>
    </xf>
    <xf numFmtId="182" fontId="0" fillId="11" borderId="0" xfId="0" applyNumberFormat="1" applyFill="1" applyAlignment="1">
      <alignment horizontal="center"/>
    </xf>
    <xf numFmtId="0" fontId="0" fillId="11" borderId="0" xfId="0" applyFill="1" applyAlignment="1">
      <alignment horizontal="center"/>
    </xf>
    <xf numFmtId="0" fontId="6" fillId="11" borderId="0" xfId="0" applyFont="1" applyFill="1"/>
    <xf numFmtId="0" fontId="23" fillId="11" borderId="0" xfId="0" applyFont="1" applyFill="1" applyBorder="1" applyAlignment="1">
      <alignment horizontal="center" vertical="center"/>
    </xf>
    <xf numFmtId="0" fontId="0" fillId="7" borderId="0" xfId="0" applyFill="1"/>
    <xf numFmtId="0" fontId="43" fillId="10" borderId="0" xfId="0" applyFont="1" applyFill="1" applyAlignment="1">
      <alignment horizontal="center"/>
    </xf>
    <xf numFmtId="0" fontId="13" fillId="10" borderId="0" xfId="0" applyFont="1" applyFill="1"/>
    <xf numFmtId="0" fontId="12" fillId="10" borderId="0" xfId="0" applyFont="1" applyFill="1"/>
    <xf numFmtId="214" fontId="6" fillId="10" borderId="0" xfId="0" applyNumberFormat="1" applyFont="1" applyFill="1" applyAlignment="1">
      <alignment horizontal="center"/>
    </xf>
    <xf numFmtId="0" fontId="6" fillId="10" borderId="0" xfId="0" applyFont="1" applyFill="1"/>
    <xf numFmtId="0" fontId="19" fillId="10" borderId="0" xfId="0" applyFont="1" applyFill="1"/>
    <xf numFmtId="0" fontId="0" fillId="10" borderId="0" xfId="0" applyFill="1"/>
    <xf numFmtId="0" fontId="18" fillId="10" borderId="0" xfId="0" applyFont="1" applyFill="1" applyAlignment="1">
      <alignment horizontal="center"/>
    </xf>
    <xf numFmtId="0" fontId="6" fillId="10" borderId="0" xfId="0" applyFont="1" applyFill="1" applyBorder="1" applyAlignment="1">
      <alignment horizontal="left" vertical="center"/>
    </xf>
    <xf numFmtId="0" fontId="6" fillId="10" borderId="0" xfId="0" applyFont="1" applyFill="1" applyAlignment="1">
      <alignment vertical="center"/>
    </xf>
    <xf numFmtId="3" fontId="6" fillId="0" borderId="0" xfId="0" applyNumberFormat="1" applyFont="1" applyFill="1" applyAlignment="1">
      <alignment horizontal="left"/>
    </xf>
    <xf numFmtId="211" fontId="1" fillId="0" borderId="11" xfId="0" applyNumberFormat="1" applyFont="1" applyFill="1" applyBorder="1" applyAlignment="1">
      <alignment horizontal="center"/>
    </xf>
    <xf numFmtId="211" fontId="1" fillId="0" borderId="21" xfId="0" applyNumberFormat="1" applyFont="1" applyFill="1" applyBorder="1" applyAlignment="1">
      <alignment horizontal="center"/>
    </xf>
    <xf numFmtId="211" fontId="0" fillId="0" borderId="8" xfId="0" applyNumberFormat="1" applyFill="1" applyBorder="1" applyAlignment="1">
      <alignment horizontal="center"/>
    </xf>
    <xf numFmtId="9" fontId="1" fillId="0" borderId="6" xfId="1" applyFont="1" applyFill="1" applyBorder="1" applyAlignment="1">
      <alignment horizontal="center"/>
    </xf>
    <xf numFmtId="1" fontId="1" fillId="0" borderId="13" xfId="0" applyNumberFormat="1" applyFont="1" applyFill="1" applyBorder="1" applyAlignment="1">
      <alignment horizontal="center"/>
    </xf>
    <xf numFmtId="3" fontId="6" fillId="0" borderId="21" xfId="0" applyNumberFormat="1" applyFont="1" applyFill="1" applyBorder="1" applyAlignment="1">
      <alignment horizontal="center"/>
    </xf>
    <xf numFmtId="0" fontId="0" fillId="0" borderId="17" xfId="0" applyFill="1" applyBorder="1"/>
    <xf numFmtId="0" fontId="0" fillId="0" borderId="19" xfId="0" applyFill="1" applyBorder="1"/>
    <xf numFmtId="0" fontId="6" fillId="0" borderId="20" xfId="0" applyFont="1" applyFill="1" applyBorder="1"/>
    <xf numFmtId="0" fontId="12" fillId="0" borderId="0" xfId="0" applyFont="1" applyFill="1" applyAlignment="1">
      <alignment horizontal="left"/>
    </xf>
    <xf numFmtId="182" fontId="12" fillId="3" borderId="3" xfId="0" applyNumberFormat="1" applyFont="1" applyFill="1" applyBorder="1" applyAlignment="1">
      <alignment horizontal="center"/>
    </xf>
    <xf numFmtId="182" fontId="0" fillId="0" borderId="0" xfId="0" applyNumberFormat="1" applyFill="1"/>
    <xf numFmtId="182" fontId="0" fillId="0" borderId="0" xfId="0" applyNumberFormat="1" applyFill="1" applyAlignment="1">
      <alignment horizontal="left"/>
    </xf>
    <xf numFmtId="0" fontId="55" fillId="11" borderId="0" xfId="0" applyFont="1" applyFill="1" applyAlignment="1">
      <alignment horizontal="center"/>
    </xf>
    <xf numFmtId="171" fontId="55" fillId="11" borderId="0" xfId="0" applyNumberFormat="1" applyFont="1" applyFill="1"/>
    <xf numFmtId="2" fontId="55" fillId="11" borderId="0" xfId="0" applyNumberFormat="1" applyFont="1" applyFill="1" applyBorder="1"/>
    <xf numFmtId="170" fontId="55" fillId="11" borderId="0" xfId="0" applyNumberFormat="1" applyFont="1" applyFill="1"/>
    <xf numFmtId="168" fontId="55" fillId="11" borderId="0" xfId="0" applyNumberFormat="1" applyFont="1" applyFill="1"/>
    <xf numFmtId="0" fontId="6" fillId="11" borderId="0" xfId="0" applyFont="1" applyFill="1" applyBorder="1" applyAlignment="1">
      <alignment horizontal="center" vertical="center"/>
    </xf>
    <xf numFmtId="201" fontId="0" fillId="0" borderId="2" xfId="0" applyNumberFormat="1" applyFill="1" applyBorder="1" applyAlignment="1">
      <alignment horizontal="center"/>
    </xf>
    <xf numFmtId="201" fontId="12" fillId="0" borderId="4" xfId="0" applyNumberFormat="1" applyFont="1" applyFill="1" applyBorder="1" applyAlignment="1">
      <alignment horizontal="center"/>
    </xf>
    <xf numFmtId="206" fontId="1" fillId="0" borderId="0" xfId="0" applyNumberFormat="1" applyFont="1" applyFill="1" applyAlignment="1">
      <alignment horizontal="center"/>
    </xf>
    <xf numFmtId="9" fontId="12" fillId="3" borderId="0" xfId="1" applyFont="1" applyFill="1" applyBorder="1" applyAlignment="1">
      <alignment horizontal="center"/>
    </xf>
    <xf numFmtId="0" fontId="13" fillId="11" borderId="0" xfId="0" applyFont="1" applyFill="1"/>
    <xf numFmtId="213" fontId="0" fillId="0" borderId="0" xfId="0" applyNumberFormat="1" applyFill="1" applyBorder="1" applyAlignment="1">
      <alignment horizontal="center"/>
    </xf>
    <xf numFmtId="213" fontId="1" fillId="0" borderId="0" xfId="0" applyNumberFormat="1" applyFont="1" applyFill="1" applyAlignment="1">
      <alignment horizontal="center"/>
    </xf>
    <xf numFmtId="169" fontId="14" fillId="11" borderId="0" xfId="0" applyNumberFormat="1" applyFont="1" applyFill="1" applyAlignment="1">
      <alignment horizontal="center"/>
    </xf>
    <xf numFmtId="3" fontId="14" fillId="11" borderId="0" xfId="0" applyNumberFormat="1" applyFont="1" applyFill="1" applyAlignment="1">
      <alignment horizontal="center"/>
    </xf>
    <xf numFmtId="176" fontId="14" fillId="11" borderId="0" xfId="0" applyNumberFormat="1" applyFont="1" applyFill="1" applyAlignment="1">
      <alignment horizontal="center"/>
    </xf>
    <xf numFmtId="0" fontId="19" fillId="11" borderId="0" xfId="0" applyFont="1" applyFill="1"/>
    <xf numFmtId="0" fontId="46" fillId="11" borderId="0" xfId="0" applyFont="1" applyFill="1" applyBorder="1" applyAlignment="1">
      <alignment horizontal="left"/>
    </xf>
    <xf numFmtId="9" fontId="1" fillId="11" borderId="0" xfId="1" applyFont="1" applyFill="1" applyBorder="1" applyAlignment="1">
      <alignment horizontal="center"/>
    </xf>
    <xf numFmtId="169" fontId="12" fillId="11" borderId="0" xfId="0" applyNumberFormat="1" applyFont="1" applyFill="1" applyAlignment="1">
      <alignment horizontal="center"/>
    </xf>
    <xf numFmtId="3" fontId="12" fillId="11" borderId="0" xfId="0" applyNumberFormat="1" applyFont="1" applyFill="1" applyAlignment="1">
      <alignment horizontal="center"/>
    </xf>
    <xf numFmtId="176" fontId="12" fillId="11" borderId="0" xfId="0" applyNumberFormat="1" applyFont="1" applyFill="1" applyAlignment="1">
      <alignment horizontal="center"/>
    </xf>
    <xf numFmtId="0" fontId="57" fillId="11" borderId="0" xfId="0" applyFont="1" applyFill="1" applyBorder="1" applyAlignment="1">
      <alignment horizontal="left"/>
    </xf>
    <xf numFmtId="9" fontId="12" fillId="11" borderId="0" xfId="1" applyFont="1" applyFill="1" applyBorder="1" applyAlignment="1">
      <alignment horizontal="center"/>
    </xf>
    <xf numFmtId="0" fontId="5" fillId="11" borderId="0" xfId="0" applyFont="1" applyFill="1" applyBorder="1"/>
    <xf numFmtId="182" fontId="13" fillId="11" borderId="0" xfId="0" applyNumberFormat="1" applyFont="1" applyFill="1" applyBorder="1" applyAlignment="1">
      <alignment horizontal="center"/>
    </xf>
    <xf numFmtId="0" fontId="12" fillId="11" borderId="0" xfId="0" applyFont="1" applyFill="1"/>
    <xf numFmtId="0" fontId="13" fillId="11" borderId="0" xfId="0" applyFont="1" applyFill="1" applyBorder="1" applyAlignment="1">
      <alignment horizontal="center"/>
    </xf>
    <xf numFmtId="169" fontId="1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1" xfId="0" applyFont="1" applyFill="1" applyBorder="1" applyAlignment="1">
      <alignment horizontal="center"/>
    </xf>
    <xf numFmtId="168" fontId="13" fillId="0" borderId="0" xfId="0" applyNumberFormat="1" applyFont="1" applyFill="1" applyAlignment="1">
      <alignment horizontal="center"/>
    </xf>
    <xf numFmtId="0" fontId="58" fillId="0" borderId="0" xfId="0" applyFont="1" applyFill="1"/>
    <xf numFmtId="1" fontId="13" fillId="0" borderId="0" xfId="0" applyNumberFormat="1" applyFont="1" applyFill="1" applyAlignment="1">
      <alignment horizontal="center"/>
    </xf>
    <xf numFmtId="0" fontId="15" fillId="11" borderId="0" xfId="0" applyFont="1" applyFill="1" applyBorder="1"/>
    <xf numFmtId="182" fontId="13" fillId="11" borderId="0" xfId="0" applyNumberFormat="1" applyFont="1" applyFill="1" applyAlignment="1">
      <alignment horizontal="center"/>
    </xf>
    <xf numFmtId="0" fontId="13" fillId="11" borderId="0" xfId="0" applyFont="1" applyFill="1" applyAlignment="1">
      <alignment horizontal="center"/>
    </xf>
    <xf numFmtId="0" fontId="59" fillId="11" borderId="0" xfId="0" applyFont="1" applyFill="1" applyBorder="1"/>
    <xf numFmtId="182" fontId="60" fillId="11" borderId="0" xfId="0" applyNumberFormat="1" applyFont="1" applyFill="1" applyBorder="1" applyAlignment="1">
      <alignment horizontal="center"/>
    </xf>
    <xf numFmtId="0" fontId="60" fillId="11" borderId="0" xfId="0" applyFont="1" applyFill="1" applyBorder="1" applyAlignment="1">
      <alignment horizontal="center"/>
    </xf>
    <xf numFmtId="0" fontId="11" fillId="11" borderId="0" xfId="0" applyFont="1" applyFill="1" applyBorder="1" applyAlignment="1">
      <alignment horizontal="center" vertical="center"/>
    </xf>
    <xf numFmtId="1" fontId="12" fillId="3" borderId="0" xfId="0" applyNumberFormat="1" applyFont="1" applyFill="1" applyAlignment="1">
      <alignment horizontal="center"/>
    </xf>
    <xf numFmtId="3" fontId="12" fillId="3" borderId="0" xfId="0" applyNumberFormat="1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1" fontId="1" fillId="3" borderId="0" xfId="0" applyNumberFormat="1" applyFont="1" applyFill="1" applyAlignment="1">
      <alignment horizontal="center"/>
    </xf>
    <xf numFmtId="181" fontId="0" fillId="3" borderId="0" xfId="0" applyNumberFormat="1" applyFill="1" applyAlignment="1">
      <alignment horizontal="center"/>
    </xf>
    <xf numFmtId="182" fontId="0" fillId="3" borderId="0" xfId="0" applyNumberFormat="1" applyFill="1" applyAlignment="1">
      <alignment horizontal="center"/>
    </xf>
    <xf numFmtId="182" fontId="0" fillId="11" borderId="0" xfId="0" applyNumberFormat="1" applyFill="1" applyBorder="1" applyAlignment="1">
      <alignment horizontal="center"/>
    </xf>
    <xf numFmtId="0" fontId="6" fillId="11" borderId="0" xfId="0" applyFont="1" applyFill="1" applyBorder="1"/>
    <xf numFmtId="0" fontId="12" fillId="11" borderId="0" xfId="0" applyFont="1" applyFill="1" applyBorder="1"/>
    <xf numFmtId="4" fontId="0" fillId="0" borderId="0" xfId="0" applyNumberFormat="1" applyFill="1" applyAlignment="1">
      <alignment horizontal="center"/>
    </xf>
    <xf numFmtId="221" fontId="0" fillId="3" borderId="0" xfId="0" applyNumberFormat="1" applyFill="1" applyAlignment="1">
      <alignment horizontal="center"/>
    </xf>
    <xf numFmtId="222" fontId="35" fillId="3" borderId="0" xfId="0" applyNumberFormat="1" applyFont="1" applyFill="1" applyAlignment="1">
      <alignment horizontal="center"/>
    </xf>
    <xf numFmtId="209" fontId="0" fillId="3" borderId="0" xfId="0" applyNumberFormat="1" applyFill="1" applyAlignment="1">
      <alignment horizontal="center"/>
    </xf>
    <xf numFmtId="0" fontId="61" fillId="8" borderId="0" xfId="0" applyFont="1" applyFill="1"/>
    <xf numFmtId="0" fontId="6" fillId="0" borderId="22" xfId="0" applyFont="1" applyFill="1" applyBorder="1"/>
    <xf numFmtId="0" fontId="0" fillId="0" borderId="14" xfId="0" applyFill="1" applyBorder="1"/>
    <xf numFmtId="0" fontId="0" fillId="0" borderId="5" xfId="0" applyFill="1" applyBorder="1" applyAlignment="1">
      <alignment horizontal="right"/>
    </xf>
    <xf numFmtId="0" fontId="12" fillId="0" borderId="15" xfId="0" applyFont="1" applyFill="1" applyBorder="1"/>
    <xf numFmtId="0" fontId="0" fillId="0" borderId="16" xfId="0" applyFill="1" applyBorder="1"/>
    <xf numFmtId="216" fontId="12" fillId="0" borderId="11" xfId="0" applyNumberFormat="1" applyFont="1" applyFill="1" applyBorder="1" applyAlignment="1">
      <alignment horizontal="center"/>
    </xf>
    <xf numFmtId="166" fontId="1" fillId="0" borderId="0" xfId="0" applyNumberFormat="1" applyFont="1" applyFill="1" applyAlignment="1">
      <alignment horizontal="center"/>
    </xf>
    <xf numFmtId="182" fontId="12" fillId="0" borderId="0" xfId="0" applyNumberFormat="1" applyFont="1" applyFill="1" applyAlignment="1">
      <alignment horizontal="center"/>
    </xf>
    <xf numFmtId="182" fontId="12" fillId="0" borderId="3" xfId="0" applyNumberFormat="1" applyFont="1" applyFill="1" applyBorder="1" applyAlignment="1">
      <alignment horizontal="center"/>
    </xf>
    <xf numFmtId="175" fontId="1" fillId="0" borderId="0" xfId="1" applyNumberFormat="1" applyFont="1" applyFill="1" applyBorder="1" applyAlignment="1">
      <alignment horizontal="center"/>
    </xf>
    <xf numFmtId="49" fontId="12" fillId="2" borderId="0" xfId="0" applyNumberFormat="1" applyFont="1" applyFill="1" applyAlignment="1">
      <alignment horizontal="center" wrapText="1"/>
    </xf>
    <xf numFmtId="0" fontId="0" fillId="2" borderId="0" xfId="0" applyFill="1" applyAlignment="1">
      <alignment horizontal="center" wrapText="1"/>
    </xf>
    <xf numFmtId="9" fontId="0" fillId="2" borderId="0" xfId="0" applyNumberFormat="1" applyFill="1" applyAlignment="1">
      <alignment horizontal="center" wrapText="1"/>
    </xf>
    <xf numFmtId="169" fontId="12" fillId="0" borderId="0" xfId="0" applyNumberFormat="1" applyFont="1" applyFill="1" applyAlignment="1">
      <alignment horizontal="left"/>
    </xf>
    <xf numFmtId="0" fontId="31" fillId="8" borderId="0" xfId="0" applyFont="1" applyFill="1" applyBorder="1"/>
    <xf numFmtId="0" fontId="25" fillId="8" borderId="0" xfId="0" applyFont="1" applyFill="1" applyBorder="1" applyAlignment="1">
      <alignment horizontal="center"/>
    </xf>
    <xf numFmtId="0" fontId="19" fillId="8" borderId="0" xfId="0" applyFont="1" applyFill="1" applyAlignment="1">
      <alignment horizontal="center"/>
    </xf>
    <xf numFmtId="0" fontId="45" fillId="8" borderId="0" xfId="0" applyFont="1" applyFill="1" applyAlignment="1">
      <alignment vertical="center"/>
    </xf>
    <xf numFmtId="0" fontId="38" fillId="8" borderId="0" xfId="0" applyFont="1" applyFill="1" applyAlignment="1">
      <alignment horizontal="left" wrapText="1"/>
    </xf>
    <xf numFmtId="0" fontId="38" fillId="8" borderId="0" xfId="0" applyFont="1" applyFill="1" applyAlignment="1">
      <alignment wrapText="1"/>
    </xf>
    <xf numFmtId="0" fontId="0" fillId="8" borderId="0" xfId="0" applyFill="1"/>
    <xf numFmtId="0" fontId="58" fillId="0" borderId="0" xfId="0" applyFont="1" applyFill="1" applyAlignment="1">
      <alignment horizontal="right"/>
    </xf>
    <xf numFmtId="0" fontId="11" fillId="0" borderId="0" xfId="0" applyFont="1" applyFill="1"/>
    <xf numFmtId="0" fontId="11" fillId="11" borderId="0" xfId="0" applyFont="1" applyFill="1" applyBorder="1"/>
    <xf numFmtId="0" fontId="1" fillId="11" borderId="0" xfId="0" applyFont="1" applyFill="1" applyBorder="1"/>
    <xf numFmtId="0" fontId="64" fillId="7" borderId="0" xfId="0" applyFont="1" applyFill="1" applyBorder="1"/>
    <xf numFmtId="0" fontId="65" fillId="7" borderId="0" xfId="0" applyFont="1" applyFill="1"/>
    <xf numFmtId="0" fontId="19" fillId="7" borderId="0" xfId="0" applyFont="1" applyFill="1"/>
    <xf numFmtId="0" fontId="32" fillId="7" borderId="0" xfId="0" applyFont="1" applyFill="1" applyBorder="1" applyAlignment="1">
      <alignment horizontal="center" vertical="center"/>
    </xf>
    <xf numFmtId="0" fontId="13" fillId="11" borderId="0" xfId="0" applyFont="1" applyFill="1" applyBorder="1"/>
    <xf numFmtId="172" fontId="0" fillId="0" borderId="0" xfId="0" applyNumberFormat="1" applyFill="1" applyAlignment="1">
      <alignment horizontal="center"/>
    </xf>
    <xf numFmtId="1" fontId="0" fillId="11" borderId="0" xfId="0" applyNumberFormat="1" applyFill="1"/>
    <xf numFmtId="169" fontId="0" fillId="11" borderId="0" xfId="0" applyNumberFormat="1" applyFill="1" applyAlignment="1">
      <alignment horizontal="center"/>
    </xf>
    <xf numFmtId="170" fontId="6" fillId="11" borderId="23" xfId="0" applyNumberFormat="1" applyFont="1" applyFill="1" applyBorder="1" applyAlignment="1">
      <alignment horizontal="center"/>
    </xf>
    <xf numFmtId="9" fontId="1" fillId="11" borderId="0" xfId="1" applyFont="1" applyFill="1" applyAlignment="1">
      <alignment horizontal="center"/>
    </xf>
    <xf numFmtId="182" fontId="13" fillId="0" borderId="0" xfId="0" applyNumberFormat="1" applyFont="1" applyFill="1" applyAlignment="1">
      <alignment horizontal="center"/>
    </xf>
    <xf numFmtId="168" fontId="0" fillId="0" borderId="1" xfId="0" applyNumberFormat="1" applyFill="1" applyBorder="1" applyAlignment="1">
      <alignment horizontal="center"/>
    </xf>
    <xf numFmtId="0" fontId="9" fillId="11" borderId="0" xfId="0" applyFont="1" applyFill="1"/>
    <xf numFmtId="168" fontId="9" fillId="11" borderId="0" xfId="0" applyNumberFormat="1" applyFont="1" applyFill="1" applyAlignment="1">
      <alignment horizontal="center"/>
    </xf>
    <xf numFmtId="169" fontId="9" fillId="11" borderId="0" xfId="0" applyNumberFormat="1" applyFont="1" applyFill="1" applyAlignment="1">
      <alignment horizontal="center"/>
    </xf>
    <xf numFmtId="170" fontId="6" fillId="11" borderId="24" xfId="0" applyNumberFormat="1" applyFont="1" applyFill="1" applyBorder="1" applyAlignment="1">
      <alignment horizontal="center"/>
    </xf>
    <xf numFmtId="9" fontId="6" fillId="11" borderId="0" xfId="1" applyFont="1" applyFill="1" applyAlignment="1">
      <alignment horizontal="center"/>
    </xf>
    <xf numFmtId="0" fontId="23" fillId="11" borderId="0" xfId="0" applyFont="1" applyFill="1"/>
    <xf numFmtId="0" fontId="26" fillId="11" borderId="0" xfId="0" applyFont="1" applyFill="1"/>
    <xf numFmtId="168" fontId="26" fillId="11" borderId="0" xfId="0" applyNumberFormat="1" applyFont="1" applyFill="1" applyAlignment="1">
      <alignment horizontal="center"/>
    </xf>
    <xf numFmtId="169" fontId="26" fillId="11" borderId="0" xfId="0" applyNumberFormat="1" applyFont="1" applyFill="1" applyAlignment="1">
      <alignment horizontal="center"/>
    </xf>
    <xf numFmtId="170" fontId="23" fillId="11" borderId="0" xfId="0" applyNumberFormat="1" applyFont="1" applyFill="1" applyBorder="1" applyAlignment="1">
      <alignment horizontal="center"/>
    </xf>
    <xf numFmtId="9" fontId="23" fillId="11" borderId="0" xfId="1" applyFont="1" applyFill="1" applyAlignment="1">
      <alignment horizontal="center"/>
    </xf>
    <xf numFmtId="0" fontId="23" fillId="0" borderId="0" xfId="0" applyFont="1" applyFill="1"/>
    <xf numFmtId="0" fontId="26" fillId="0" borderId="0" xfId="0" applyFont="1" applyFill="1"/>
    <xf numFmtId="168" fontId="26" fillId="0" borderId="0" xfId="0" applyNumberFormat="1" applyFont="1" applyFill="1" applyAlignment="1">
      <alignment horizontal="center"/>
    </xf>
    <xf numFmtId="169" fontId="26" fillId="0" borderId="0" xfId="0" applyNumberFormat="1" applyFont="1" applyFill="1" applyAlignment="1">
      <alignment horizontal="center"/>
    </xf>
    <xf numFmtId="170" fontId="23" fillId="0" borderId="0" xfId="0" applyNumberFormat="1" applyFont="1" applyFill="1" applyBorder="1" applyAlignment="1">
      <alignment horizontal="center"/>
    </xf>
    <xf numFmtId="9" fontId="23" fillId="0" borderId="0" xfId="1" applyFont="1" applyFill="1" applyAlignment="1">
      <alignment horizontal="center"/>
    </xf>
    <xf numFmtId="0" fontId="33" fillId="11" borderId="0" xfId="0" applyFont="1" applyFill="1"/>
    <xf numFmtId="0" fontId="8" fillId="11" borderId="0" xfId="0" applyFont="1" applyFill="1"/>
    <xf numFmtId="187" fontId="0" fillId="0" borderId="0" xfId="0" applyNumberFormat="1" applyFill="1" applyAlignment="1">
      <alignment horizontal="center"/>
    </xf>
    <xf numFmtId="1" fontId="0" fillId="11" borderId="0" xfId="0" applyNumberFormat="1" applyFill="1" applyAlignment="1">
      <alignment horizontal="center"/>
    </xf>
    <xf numFmtId="170" fontId="1" fillId="11" borderId="0" xfId="0" applyNumberFormat="1" applyFont="1" applyFill="1" applyAlignment="1">
      <alignment horizontal="center"/>
    </xf>
    <xf numFmtId="9" fontId="4" fillId="11" borderId="0" xfId="1" applyFill="1" applyAlignment="1">
      <alignment horizontal="center"/>
    </xf>
    <xf numFmtId="0" fontId="34" fillId="11" borderId="0" xfId="0" applyFont="1" applyFill="1"/>
    <xf numFmtId="168" fontId="34" fillId="11" borderId="0" xfId="0" applyNumberFormat="1" applyFont="1" applyFill="1" applyAlignment="1">
      <alignment horizontal="center"/>
    </xf>
    <xf numFmtId="169" fontId="34" fillId="11" borderId="0" xfId="0" applyNumberFormat="1" applyFont="1" applyFill="1" applyAlignment="1">
      <alignment horizontal="center"/>
    </xf>
    <xf numFmtId="170" fontId="33" fillId="11" borderId="0" xfId="0" applyNumberFormat="1" applyFont="1" applyFill="1" applyBorder="1" applyAlignment="1">
      <alignment horizontal="center"/>
    </xf>
    <xf numFmtId="9" fontId="19" fillId="11" borderId="0" xfId="1" applyFont="1" applyFill="1" applyAlignment="1">
      <alignment horizontal="center"/>
    </xf>
    <xf numFmtId="0" fontId="66" fillId="10" borderId="0" xfId="0" applyFont="1" applyFill="1" applyAlignment="1">
      <alignment horizontal="left" vertical="center"/>
    </xf>
    <xf numFmtId="0" fontId="15" fillId="10" borderId="0" xfId="0" applyFont="1" applyFill="1" applyAlignment="1">
      <alignment horizontal="center"/>
    </xf>
    <xf numFmtId="0" fontId="0" fillId="10" borderId="0" xfId="0" applyFill="1" applyBorder="1" applyAlignment="1">
      <alignment horizontal="center"/>
    </xf>
    <xf numFmtId="0" fontId="6" fillId="10" borderId="0" xfId="0" applyFont="1" applyFill="1" applyBorder="1"/>
    <xf numFmtId="0" fontId="0" fillId="10" borderId="0" xfId="0" applyFill="1" applyBorder="1"/>
    <xf numFmtId="0" fontId="0" fillId="10" borderId="0" xfId="0" applyFill="1" applyAlignment="1"/>
    <xf numFmtId="0" fontId="6" fillId="10" borderId="2" xfId="0" applyFont="1" applyFill="1" applyBorder="1"/>
    <xf numFmtId="0" fontId="44" fillId="10" borderId="0" xfId="0" applyFont="1" applyFill="1"/>
    <xf numFmtId="0" fontId="13" fillId="10" borderId="0" xfId="0" applyFont="1" applyFill="1" applyAlignment="1">
      <alignment horizontal="center"/>
    </xf>
    <xf numFmtId="0" fontId="11" fillId="10" borderId="0" xfId="0" applyFont="1" applyFill="1"/>
    <xf numFmtId="169" fontId="0" fillId="0" borderId="1" xfId="0" applyNumberFormat="1" applyFill="1" applyBorder="1" applyAlignment="1">
      <alignment horizontal="center"/>
    </xf>
    <xf numFmtId="172" fontId="3" fillId="0" borderId="0" xfId="0" applyNumberFormat="1" applyFont="1" applyFill="1" applyBorder="1" applyAlignment="1">
      <alignment horizontal="center"/>
    </xf>
    <xf numFmtId="0" fontId="23" fillId="11" borderId="3" xfId="0" applyFont="1" applyFill="1" applyBorder="1"/>
    <xf numFmtId="9" fontId="13" fillId="0" borderId="0" xfId="1" applyFont="1" applyFill="1" applyAlignment="1">
      <alignment horizontal="left"/>
    </xf>
    <xf numFmtId="195" fontId="13" fillId="0" borderId="0" xfId="1" applyNumberFormat="1" applyFont="1" applyFill="1" applyAlignment="1">
      <alignment horizontal="center"/>
    </xf>
    <xf numFmtId="9" fontId="13" fillId="0" borderId="2" xfId="1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206" fontId="0" fillId="0" borderId="0" xfId="0" applyNumberFormat="1" applyFill="1" applyAlignment="1">
      <alignment horizontal="center"/>
    </xf>
    <xf numFmtId="0" fontId="39" fillId="0" borderId="0" xfId="0" applyFont="1" applyFill="1"/>
    <xf numFmtId="0" fontId="30" fillId="0" borderId="0" xfId="0" applyFont="1" applyFill="1" applyAlignment="1">
      <alignment horizontal="right"/>
    </xf>
    <xf numFmtId="219" fontId="35" fillId="0" borderId="0" xfId="0" applyNumberFormat="1" applyFont="1" applyFill="1" applyAlignment="1">
      <alignment horizontal="left"/>
    </xf>
    <xf numFmtId="9" fontId="13" fillId="0" borderId="2" xfId="1" applyFont="1" applyFill="1" applyBorder="1" applyAlignment="1">
      <alignment horizontal="center"/>
    </xf>
    <xf numFmtId="0" fontId="1" fillId="11" borderId="0" xfId="0" applyFont="1" applyFill="1"/>
    <xf numFmtId="0" fontId="4" fillId="11" borderId="0" xfId="0" applyFont="1" applyFill="1"/>
    <xf numFmtId="0" fontId="1" fillId="11" borderId="0" xfId="0" applyFont="1" applyFill="1" applyAlignment="1">
      <alignment horizontal="center"/>
    </xf>
    <xf numFmtId="169" fontId="1" fillId="11" borderId="0" xfId="0" applyNumberFormat="1" applyFont="1" applyFill="1" applyAlignment="1">
      <alignment horizontal="center"/>
    </xf>
    <xf numFmtId="170" fontId="1" fillId="11" borderId="23" xfId="0" applyNumberFormat="1" applyFont="1" applyFill="1" applyBorder="1" applyAlignment="1">
      <alignment horizontal="center"/>
    </xf>
    <xf numFmtId="191" fontId="0" fillId="0" borderId="0" xfId="0" applyNumberFormat="1" applyFill="1" applyAlignment="1">
      <alignment horizontal="center"/>
    </xf>
    <xf numFmtId="193" fontId="0" fillId="0" borderId="0" xfId="0" applyNumberFormat="1" applyFill="1" applyAlignment="1">
      <alignment horizontal="center"/>
    </xf>
    <xf numFmtId="196" fontId="0" fillId="0" borderId="0" xfId="0" applyNumberFormat="1" applyFill="1" applyAlignment="1">
      <alignment horizontal="center"/>
    </xf>
    <xf numFmtId="221" fontId="0" fillId="0" borderId="0" xfId="0" applyNumberFormat="1" applyFill="1" applyAlignment="1">
      <alignment horizontal="center"/>
    </xf>
    <xf numFmtId="189" fontId="0" fillId="0" borderId="0" xfId="0" applyNumberFormat="1" applyFill="1" applyBorder="1" applyAlignment="1">
      <alignment horizontal="center"/>
    </xf>
    <xf numFmtId="197" fontId="0" fillId="0" borderId="0" xfId="0" applyNumberFormat="1" applyFill="1" applyBorder="1" applyAlignment="1">
      <alignment horizontal="center"/>
    </xf>
    <xf numFmtId="186" fontId="0" fillId="0" borderId="0" xfId="0" applyNumberFormat="1" applyFill="1" applyAlignment="1">
      <alignment horizontal="center"/>
    </xf>
    <xf numFmtId="0" fontId="1" fillId="0" borderId="0" xfId="0" applyFont="1" applyFill="1" applyAlignment="1">
      <alignment horizontal="right"/>
    </xf>
    <xf numFmtId="186" fontId="13" fillId="0" borderId="0" xfId="0" applyNumberFormat="1" applyFont="1" applyFill="1" applyAlignment="1">
      <alignment horizontal="center"/>
    </xf>
    <xf numFmtId="0" fontId="30" fillId="0" borderId="0" xfId="0" applyFont="1" applyFill="1"/>
    <xf numFmtId="168" fontId="2" fillId="0" borderId="0" xfId="0" applyNumberFormat="1" applyFont="1" applyFill="1" applyAlignment="1">
      <alignment horizontal="center"/>
    </xf>
    <xf numFmtId="49" fontId="4" fillId="0" borderId="0" xfId="0" applyNumberFormat="1" applyFont="1" applyFill="1"/>
    <xf numFmtId="213" fontId="12" fillId="0" borderId="0" xfId="0" applyNumberFormat="1" applyFont="1" applyFill="1" applyAlignment="1">
      <alignment horizontal="center"/>
    </xf>
    <xf numFmtId="184" fontId="4" fillId="0" borderId="0" xfId="0" applyNumberFormat="1" applyFont="1" applyFill="1" applyAlignment="1">
      <alignment horizontal="left"/>
    </xf>
    <xf numFmtId="184" fontId="12" fillId="0" borderId="0" xfId="0" applyNumberFormat="1" applyFont="1" applyFill="1" applyAlignment="1">
      <alignment horizontal="center"/>
    </xf>
    <xf numFmtId="168" fontId="0" fillId="11" borderId="0" xfId="0" applyNumberFormat="1" applyFill="1" applyAlignment="1">
      <alignment horizontal="center"/>
    </xf>
    <xf numFmtId="0" fontId="26" fillId="11" borderId="0" xfId="0" applyFont="1" applyFill="1" applyAlignment="1">
      <alignment horizontal="center"/>
    </xf>
    <xf numFmtId="0" fontId="8" fillId="10" borderId="0" xfId="0" applyFont="1" applyFill="1" applyAlignment="1">
      <alignment horizontal="center"/>
    </xf>
    <xf numFmtId="0" fontId="0" fillId="10" borderId="2" xfId="0" applyFill="1" applyBorder="1"/>
    <xf numFmtId="214" fontId="6" fillId="10" borderId="0" xfId="0" applyNumberFormat="1" applyFont="1" applyFill="1" applyAlignment="1">
      <alignment horizontal="center" vertical="center"/>
    </xf>
    <xf numFmtId="0" fontId="37" fillId="10" borderId="0" xfId="0" applyFont="1" applyFill="1" applyAlignment="1">
      <alignment vertical="center" wrapText="1"/>
    </xf>
    <xf numFmtId="0" fontId="18" fillId="10" borderId="2" xfId="0" applyFont="1" applyFill="1" applyBorder="1" applyAlignment="1">
      <alignment horizontal="center"/>
    </xf>
    <xf numFmtId="214" fontId="6" fillId="10" borderId="0" xfId="0" applyNumberFormat="1" applyFont="1" applyFill="1" applyBorder="1" applyAlignment="1">
      <alignment horizontal="center" vertical="center"/>
    </xf>
    <xf numFmtId="0" fontId="37" fillId="10" borderId="0" xfId="0" applyFont="1" applyFill="1" applyBorder="1" applyAlignment="1">
      <alignment vertical="center" wrapText="1"/>
    </xf>
    <xf numFmtId="0" fontId="33" fillId="10" borderId="0" xfId="0" applyFont="1" applyFill="1" applyBorder="1" applyAlignment="1">
      <alignment horizontal="left" vertical="center"/>
    </xf>
    <xf numFmtId="177" fontId="38" fillId="7" borderId="0" xfId="0" applyNumberFormat="1" applyFont="1" applyFill="1" applyAlignment="1">
      <alignment horizontal="left"/>
    </xf>
    <xf numFmtId="0" fontId="23" fillId="7" borderId="0" xfId="0" applyFont="1" applyFill="1"/>
    <xf numFmtId="0" fontId="40" fillId="7" borderId="0" xfId="0" applyFont="1" applyFill="1" applyAlignment="1">
      <alignment horizontal="right"/>
    </xf>
    <xf numFmtId="0" fontId="40" fillId="7" borderId="0" xfId="0" applyFont="1" applyFill="1"/>
    <xf numFmtId="0" fontId="32" fillId="7" borderId="0" xfId="0" applyFont="1" applyFill="1" applyBorder="1" applyAlignment="1">
      <alignment horizontal="center"/>
    </xf>
    <xf numFmtId="9" fontId="4" fillId="0" borderId="4" xfId="1" applyFont="1" applyFill="1" applyBorder="1" applyAlignment="1">
      <alignment horizontal="center"/>
    </xf>
    <xf numFmtId="170" fontId="12" fillId="0" borderId="1" xfId="0" applyNumberFormat="1" applyFont="1" applyFill="1" applyBorder="1" applyAlignment="1">
      <alignment horizontal="center"/>
    </xf>
    <xf numFmtId="4" fontId="0" fillId="0" borderId="0" xfId="0" applyNumberFormat="1" applyFill="1"/>
    <xf numFmtId="174" fontId="0" fillId="0" borderId="0" xfId="0" applyNumberFormat="1" applyFill="1" applyAlignment="1">
      <alignment horizontal="center" vertical="center"/>
    </xf>
    <xf numFmtId="49" fontId="12" fillId="0" borderId="0" xfId="0" applyNumberFormat="1" applyFont="1" applyFill="1" applyAlignment="1">
      <alignment horizontal="left" vertical="center" wrapText="1"/>
    </xf>
    <xf numFmtId="0" fontId="0" fillId="11" borderId="3" xfId="0" applyFill="1" applyBorder="1"/>
    <xf numFmtId="0" fontId="0" fillId="11" borderId="11" xfId="0" applyFill="1" applyBorder="1"/>
    <xf numFmtId="190" fontId="0" fillId="0" borderId="0" xfId="0" applyNumberFormat="1" applyFill="1"/>
    <xf numFmtId="4" fontId="0" fillId="0" borderId="0" xfId="0" applyNumberForma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27" fillId="0" borderId="27" xfId="0" applyNumberFormat="1" applyFont="1" applyFill="1" applyBorder="1" applyAlignment="1">
      <alignment horizontal="center"/>
    </xf>
    <xf numFmtId="208" fontId="12" fillId="0" borderId="0" xfId="0" applyNumberFormat="1" applyFont="1" applyFill="1" applyAlignment="1">
      <alignment horizontal="center"/>
    </xf>
    <xf numFmtId="0" fontId="62" fillId="0" borderId="0" xfId="0" applyFont="1" applyFill="1"/>
    <xf numFmtId="0" fontId="62" fillId="0" borderId="0" xfId="0" applyFont="1" applyFill="1" applyAlignment="1">
      <alignment horizontal="center"/>
    </xf>
    <xf numFmtId="168" fontId="62" fillId="0" borderId="0" xfId="0" applyNumberFormat="1" applyFont="1" applyFill="1" applyAlignment="1">
      <alignment horizontal="center"/>
    </xf>
    <xf numFmtId="169" fontId="62" fillId="0" borderId="0" xfId="0" applyNumberFormat="1" applyFont="1" applyFill="1" applyAlignment="1">
      <alignment horizontal="center"/>
    </xf>
    <xf numFmtId="170" fontId="67" fillId="0" borderId="0" xfId="0" applyNumberFormat="1" applyFont="1" applyFill="1" applyBorder="1" applyAlignment="1">
      <alignment horizontal="center"/>
    </xf>
    <xf numFmtId="0" fontId="37" fillId="0" borderId="0" xfId="0" applyFont="1" applyFill="1"/>
    <xf numFmtId="9" fontId="69" fillId="0" borderId="0" xfId="1" applyFont="1" applyFill="1" applyBorder="1" applyAlignment="1">
      <alignment horizontal="center"/>
    </xf>
    <xf numFmtId="170" fontId="69" fillId="0" borderId="0" xfId="1" applyNumberFormat="1" applyFont="1" applyFill="1" applyBorder="1" applyAlignment="1">
      <alignment horizontal="center"/>
    </xf>
    <xf numFmtId="0" fontId="32" fillId="11" borderId="0" xfId="0" applyFont="1" applyFill="1"/>
    <xf numFmtId="199" fontId="33" fillId="11" borderId="25" xfId="0" applyNumberFormat="1" applyFont="1" applyFill="1" applyBorder="1" applyAlignment="1">
      <alignment horizontal="center"/>
    </xf>
    <xf numFmtId="199" fontId="23" fillId="11" borderId="28" xfId="0" applyNumberFormat="1" applyFont="1" applyFill="1" applyBorder="1" applyAlignment="1">
      <alignment horizontal="center"/>
    </xf>
    <xf numFmtId="49" fontId="35" fillId="0" borderId="2" xfId="0" applyNumberFormat="1" applyFont="1" applyFill="1" applyBorder="1" applyAlignment="1">
      <alignment wrapText="1"/>
    </xf>
    <xf numFmtId="0" fontId="6" fillId="0" borderId="0" xfId="0" applyFont="1" applyFill="1" applyBorder="1" applyAlignment="1">
      <alignment vertical="center"/>
    </xf>
    <xf numFmtId="0" fontId="13" fillId="0" borderId="0" xfId="0" applyFont="1" applyFill="1" applyAlignment="1">
      <alignment horizontal="right" vertical="center"/>
    </xf>
    <xf numFmtId="170" fontId="12" fillId="0" borderId="0" xfId="0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170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wrapText="1"/>
    </xf>
    <xf numFmtId="200" fontId="12" fillId="0" borderId="0" xfId="0" applyNumberFormat="1" applyFont="1" applyFill="1" applyBorder="1" applyAlignment="1">
      <alignment horizontal="center"/>
    </xf>
    <xf numFmtId="170" fontId="0" fillId="0" borderId="2" xfId="0" applyNumberFormat="1" applyFill="1" applyBorder="1" applyAlignment="1">
      <alignment horizontal="center"/>
    </xf>
    <xf numFmtId="224" fontId="12" fillId="0" borderId="0" xfId="0" applyNumberFormat="1" applyFont="1" applyFill="1" applyAlignment="1">
      <alignment horizontal="center"/>
    </xf>
    <xf numFmtId="220" fontId="12" fillId="0" borderId="0" xfId="0" applyNumberFormat="1" applyFont="1" applyFill="1" applyAlignment="1">
      <alignment horizontal="center"/>
    </xf>
    <xf numFmtId="175" fontId="12" fillId="0" borderId="0" xfId="1" applyNumberFormat="1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0" fontId="13" fillId="0" borderId="1" xfId="0" applyFont="1" applyFill="1" applyBorder="1"/>
    <xf numFmtId="0" fontId="12" fillId="0" borderId="1" xfId="0" applyFont="1" applyFill="1" applyBorder="1" applyAlignment="1">
      <alignment horizontal="left"/>
    </xf>
    <xf numFmtId="180" fontId="6" fillId="0" borderId="0" xfId="0" applyNumberFormat="1" applyFont="1" applyFill="1" applyBorder="1" applyAlignment="1">
      <alignment horizontal="center"/>
    </xf>
    <xf numFmtId="180" fontId="6" fillId="0" borderId="1" xfId="0" applyNumberFormat="1" applyFont="1" applyFill="1" applyBorder="1" applyAlignment="1">
      <alignment horizontal="center"/>
    </xf>
    <xf numFmtId="170" fontId="0" fillId="11" borderId="0" xfId="1" applyNumberFormat="1" applyFont="1" applyFill="1"/>
    <xf numFmtId="170" fontId="13" fillId="11" borderId="0" xfId="1" applyNumberFormat="1" applyFont="1" applyFill="1"/>
    <xf numFmtId="170" fontId="19" fillId="11" borderId="0" xfId="1" applyNumberFormat="1" applyFont="1" applyFill="1"/>
    <xf numFmtId="9" fontId="0" fillId="0" borderId="1" xfId="0" applyNumberFormat="1" applyFill="1" applyBorder="1" applyAlignment="1">
      <alignment horizontal="center"/>
    </xf>
    <xf numFmtId="9" fontId="12" fillId="0" borderId="0" xfId="1" applyFont="1" applyFill="1" applyAlignment="1">
      <alignment horizontal="center"/>
    </xf>
    <xf numFmtId="9" fontId="12" fillId="0" borderId="1" xfId="1" applyFont="1" applyFill="1" applyBorder="1" applyAlignment="1">
      <alignment horizontal="center"/>
    </xf>
    <xf numFmtId="2" fontId="12" fillId="0" borderId="0" xfId="0" applyNumberFormat="1" applyFont="1" applyFill="1"/>
    <xf numFmtId="2" fontId="0" fillId="0" borderId="0" xfId="0" applyNumberFormat="1" applyFill="1"/>
    <xf numFmtId="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vertical="center" wrapText="1"/>
    </xf>
    <xf numFmtId="170" fontId="0" fillId="0" borderId="0" xfId="0" applyNumberFormat="1" applyFill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195" fontId="0" fillId="0" borderId="1" xfId="0" applyNumberFormat="1" applyFill="1" applyBorder="1" applyAlignment="1">
      <alignment horizontal="center"/>
    </xf>
    <xf numFmtId="0" fontId="12" fillId="0" borderId="0" xfId="0" applyFont="1" applyFill="1" applyAlignment="1">
      <alignment vertical="center" wrapText="1"/>
    </xf>
    <xf numFmtId="0" fontId="32" fillId="10" borderId="0" xfId="0" applyFont="1" applyFill="1"/>
    <xf numFmtId="0" fontId="38" fillId="7" borderId="0" xfId="0" applyFont="1" applyFill="1" applyAlignment="1"/>
    <xf numFmtId="0" fontId="63" fillId="7" borderId="0" xfId="0" applyFont="1" applyFill="1" applyAlignment="1">
      <alignment horizontal="left"/>
    </xf>
    <xf numFmtId="0" fontId="37" fillId="7" borderId="0" xfId="0" applyFont="1" applyFill="1" applyAlignment="1">
      <alignment horizontal="left"/>
    </xf>
    <xf numFmtId="0" fontId="9" fillId="7" borderId="0" xfId="0" applyFont="1" applyFill="1" applyBorder="1" applyAlignment="1">
      <alignment horizontal="center"/>
    </xf>
    <xf numFmtId="0" fontId="8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18" fillId="0" borderId="0" xfId="0" applyFont="1" applyFill="1" applyAlignment="1">
      <alignment horizontal="left"/>
    </xf>
    <xf numFmtId="214" fontId="6" fillId="0" borderId="0" xfId="0" applyNumberFormat="1" applyFont="1" applyFill="1" applyAlignment="1">
      <alignment horizontal="left"/>
    </xf>
    <xf numFmtId="170" fontId="6" fillId="11" borderId="0" xfId="0" applyNumberFormat="1" applyFont="1" applyFill="1" applyAlignment="1">
      <alignment horizontal="center"/>
    </xf>
    <xf numFmtId="169" fontId="6" fillId="11" borderId="0" xfId="0" applyNumberFormat="1" applyFont="1" applyFill="1" applyAlignment="1">
      <alignment horizontal="center"/>
    </xf>
    <xf numFmtId="178" fontId="0" fillId="0" borderId="0" xfId="0" applyNumberFormat="1" applyFill="1" applyAlignment="1">
      <alignment horizontal="center"/>
    </xf>
    <xf numFmtId="217" fontId="6" fillId="11" borderId="0" xfId="0" applyNumberFormat="1" applyFont="1" applyFill="1" applyAlignment="1">
      <alignment horizontal="center"/>
    </xf>
    <xf numFmtId="0" fontId="15" fillId="10" borderId="0" xfId="0" applyFont="1" applyFill="1"/>
    <xf numFmtId="194" fontId="12" fillId="10" borderId="0" xfId="0" applyNumberFormat="1" applyFont="1" applyFill="1" applyAlignment="1">
      <alignment horizontal="left"/>
    </xf>
    <xf numFmtId="0" fontId="39" fillId="10" borderId="0" xfId="0" applyFont="1" applyFill="1" applyAlignment="1">
      <alignment horizontal="center"/>
    </xf>
    <xf numFmtId="0" fontId="12" fillId="10" borderId="0" xfId="0" applyFont="1" applyFill="1" applyBorder="1" applyAlignment="1">
      <alignment horizontal="left"/>
    </xf>
    <xf numFmtId="201" fontId="12" fillId="10" borderId="0" xfId="0" applyNumberFormat="1" applyFont="1" applyFill="1" applyBorder="1" applyAlignment="1">
      <alignment horizontal="left"/>
    </xf>
    <xf numFmtId="0" fontId="12" fillId="10" borderId="0" xfId="0" applyFont="1" applyFill="1" applyBorder="1" applyAlignment="1">
      <alignment horizontal="right"/>
    </xf>
    <xf numFmtId="0" fontId="43" fillId="10" borderId="0" xfId="0" applyFont="1" applyFill="1" applyAlignment="1">
      <alignment horizontal="left"/>
    </xf>
    <xf numFmtId="0" fontId="32" fillId="10" borderId="0" xfId="0" applyFont="1" applyFill="1" applyBorder="1"/>
    <xf numFmtId="0" fontId="12" fillId="9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Fill="1" applyAlignment="1">
      <alignment horizontal="left" vertical="center" wrapText="1"/>
    </xf>
    <xf numFmtId="180" fontId="12" fillId="0" borderId="0" xfId="0" applyNumberFormat="1" applyFont="1" applyFill="1" applyAlignment="1">
      <alignment horizontal="center" vertical="center"/>
    </xf>
    <xf numFmtId="180" fontId="13" fillId="0" borderId="0" xfId="0" applyNumberFormat="1" applyFont="1" applyFill="1" applyAlignment="1">
      <alignment horizontal="center" vertical="center"/>
    </xf>
    <xf numFmtId="169" fontId="13" fillId="0" borderId="0" xfId="0" applyNumberFormat="1" applyFont="1" applyFill="1" applyAlignment="1">
      <alignment horizontal="center" vertical="center"/>
    </xf>
    <xf numFmtId="9" fontId="12" fillId="0" borderId="0" xfId="0" applyNumberFormat="1" applyFont="1" applyFill="1" applyAlignment="1">
      <alignment horizontal="center" vertical="center"/>
    </xf>
    <xf numFmtId="9" fontId="13" fillId="0" borderId="0" xfId="1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213" fontId="12" fillId="0" borderId="0" xfId="0" applyNumberFormat="1" applyFont="1" applyFill="1" applyAlignment="1">
      <alignment horizontal="center" vertical="center"/>
    </xf>
    <xf numFmtId="169" fontId="12" fillId="0" borderId="0" xfId="0" applyNumberFormat="1" applyFont="1" applyFill="1" applyAlignment="1">
      <alignment horizontal="center" vertical="center"/>
    </xf>
    <xf numFmtId="9" fontId="13" fillId="0" borderId="0" xfId="0" applyNumberFormat="1" applyFont="1" applyFill="1" applyAlignment="1">
      <alignment horizontal="center" vertical="center"/>
    </xf>
    <xf numFmtId="212" fontId="13" fillId="0" borderId="0" xfId="0" applyNumberFormat="1" applyFont="1" applyFill="1" applyAlignment="1">
      <alignment horizontal="center" vertical="center"/>
    </xf>
    <xf numFmtId="195" fontId="13" fillId="0" borderId="0" xfId="0" applyNumberFormat="1" applyFont="1" applyFill="1" applyAlignment="1">
      <alignment horizontal="center" vertical="center"/>
    </xf>
    <xf numFmtId="175" fontId="13" fillId="0" borderId="0" xfId="1" applyNumberFormat="1" applyFont="1" applyFill="1" applyAlignment="1">
      <alignment horizontal="center" vertical="center"/>
    </xf>
    <xf numFmtId="224" fontId="6" fillId="0" borderId="0" xfId="0" applyNumberFormat="1" applyFont="1" applyFill="1" applyBorder="1" applyAlignment="1">
      <alignment horizontal="center" vertical="center"/>
    </xf>
    <xf numFmtId="224" fontId="9" fillId="0" borderId="0" xfId="0" applyNumberFormat="1" applyFont="1" applyFill="1" applyBorder="1" applyAlignment="1">
      <alignment horizontal="center" vertical="center"/>
    </xf>
    <xf numFmtId="180" fontId="6" fillId="0" borderId="0" xfId="0" applyNumberFormat="1" applyFont="1" applyFill="1" applyBorder="1" applyAlignment="1">
      <alignment horizontal="center" vertical="center"/>
    </xf>
    <xf numFmtId="180" fontId="9" fillId="0" borderId="0" xfId="0" applyNumberFormat="1" applyFont="1" applyFill="1" applyBorder="1" applyAlignment="1">
      <alignment horizontal="center" vertical="center"/>
    </xf>
    <xf numFmtId="175" fontId="12" fillId="0" borderId="0" xfId="0" applyNumberFormat="1" applyFont="1" applyFill="1" applyBorder="1" applyAlignment="1">
      <alignment horizontal="center" vertical="center"/>
    </xf>
    <xf numFmtId="175" fontId="13" fillId="0" borderId="0" xfId="0" applyNumberFormat="1" applyFont="1" applyFill="1" applyBorder="1" applyAlignment="1">
      <alignment horizontal="center" vertical="center"/>
    </xf>
    <xf numFmtId="175" fontId="12" fillId="0" borderId="0" xfId="1" applyNumberFormat="1" applyFont="1" applyFill="1" applyBorder="1" applyAlignment="1">
      <alignment horizontal="center" vertical="center"/>
    </xf>
    <xf numFmtId="175" fontId="13" fillId="0" borderId="0" xfId="1" applyNumberFormat="1" applyFont="1" applyFill="1" applyBorder="1" applyAlignment="1">
      <alignment horizontal="center" vertical="center"/>
    </xf>
    <xf numFmtId="183" fontId="6" fillId="0" borderId="0" xfId="0" applyNumberFormat="1" applyFont="1" applyFill="1" applyAlignment="1">
      <alignment horizontal="center" vertical="center"/>
    </xf>
    <xf numFmtId="200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vertical="center" wrapText="1"/>
    </xf>
    <xf numFmtId="49" fontId="30" fillId="0" borderId="0" xfId="0" applyNumberFormat="1" applyFont="1" applyFill="1" applyAlignment="1">
      <alignment vertical="center" wrapText="1"/>
    </xf>
    <xf numFmtId="9" fontId="6" fillId="0" borderId="0" xfId="1" applyFont="1" applyFill="1" applyAlignment="1">
      <alignment horizontal="center" vertical="center"/>
    </xf>
    <xf numFmtId="9" fontId="6" fillId="0" borderId="0" xfId="1" applyNumberFormat="1" applyFont="1" applyFill="1" applyAlignment="1">
      <alignment horizontal="center" vertical="center"/>
    </xf>
    <xf numFmtId="180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right" vertical="center"/>
    </xf>
    <xf numFmtId="0" fontId="12" fillId="3" borderId="0" xfId="0" applyFont="1" applyFill="1" applyAlignment="1" applyProtection="1">
      <alignment vertical="center"/>
      <protection locked="0"/>
    </xf>
    <xf numFmtId="3" fontId="13" fillId="3" borderId="0" xfId="0" applyNumberFormat="1" applyFont="1" applyFill="1" applyAlignment="1" applyProtection="1">
      <alignment horizontal="center" vertical="center"/>
      <protection locked="0"/>
    </xf>
    <xf numFmtId="169" fontId="13" fillId="3" borderId="0" xfId="0" applyNumberFormat="1" applyFont="1" applyFill="1" applyAlignment="1" applyProtection="1">
      <alignment horizontal="center" vertical="center"/>
      <protection locked="0"/>
    </xf>
    <xf numFmtId="195" fontId="13" fillId="3" borderId="0" xfId="0" applyNumberFormat="1" applyFont="1" applyFill="1" applyAlignment="1" applyProtection="1">
      <alignment horizontal="center" vertical="center"/>
      <protection locked="0"/>
    </xf>
    <xf numFmtId="175" fontId="13" fillId="3" borderId="0" xfId="1" applyNumberFormat="1" applyFont="1" applyFill="1" applyAlignment="1" applyProtection="1">
      <alignment horizontal="center" vertical="center"/>
      <protection locked="0"/>
    </xf>
    <xf numFmtId="0" fontId="67" fillId="9" borderId="0" xfId="0" applyFont="1" applyFill="1" applyAlignment="1">
      <alignment vertical="center" wrapText="1"/>
    </xf>
    <xf numFmtId="170" fontId="6" fillId="9" borderId="0" xfId="0" applyNumberFormat="1" applyFont="1" applyFill="1" applyAlignment="1">
      <alignment horizontal="center" vertical="center"/>
    </xf>
    <xf numFmtId="0" fontId="6" fillId="9" borderId="0" xfId="0" applyFont="1" applyFill="1" applyBorder="1" applyAlignment="1">
      <alignment vertical="center" wrapText="1"/>
    </xf>
    <xf numFmtId="200" fontId="6" fillId="9" borderId="0" xfId="0" applyNumberFormat="1" applyFont="1" applyFill="1" applyBorder="1" applyAlignment="1">
      <alignment horizontal="center" vertical="center"/>
    </xf>
    <xf numFmtId="0" fontId="13" fillId="9" borderId="0" xfId="0" applyFont="1" applyFill="1" applyAlignment="1">
      <alignment vertical="center"/>
    </xf>
    <xf numFmtId="49" fontId="6" fillId="9" borderId="0" xfId="0" applyNumberFormat="1" applyFont="1" applyFill="1" applyAlignment="1">
      <alignment vertical="center" wrapText="1"/>
    </xf>
    <xf numFmtId="195" fontId="6" fillId="9" borderId="0" xfId="0" applyNumberFormat="1" applyFont="1" applyFill="1" applyAlignment="1">
      <alignment horizontal="center" vertical="center"/>
    </xf>
    <xf numFmtId="49" fontId="8" fillId="9" borderId="0" xfId="0" applyNumberFormat="1" applyFont="1" applyFill="1" applyAlignment="1">
      <alignment vertical="center" wrapText="1"/>
    </xf>
    <xf numFmtId="225" fontId="6" fillId="9" borderId="0" xfId="0" applyNumberFormat="1" applyFont="1" applyFill="1" applyAlignment="1">
      <alignment horizontal="center" vertical="center"/>
    </xf>
    <xf numFmtId="0" fontId="6" fillId="9" borderId="0" xfId="0" applyFont="1" applyFill="1" applyAlignment="1">
      <alignment vertical="center"/>
    </xf>
    <xf numFmtId="183" fontId="6" fillId="9" borderId="0" xfId="0" applyNumberFormat="1" applyFont="1" applyFill="1" applyAlignment="1">
      <alignment horizontal="center" vertical="center"/>
    </xf>
    <xf numFmtId="0" fontId="6" fillId="9" borderId="0" xfId="0" applyFont="1" applyFill="1" applyAlignment="1">
      <alignment horizontal="left" wrapText="1"/>
    </xf>
    <xf numFmtId="175" fontId="6" fillId="9" borderId="0" xfId="1" applyNumberFormat="1" applyFont="1" applyFill="1" applyBorder="1" applyAlignment="1">
      <alignment horizontal="center" vertical="center"/>
    </xf>
    <xf numFmtId="198" fontId="6" fillId="0" borderId="0" xfId="0" applyNumberFormat="1" applyFont="1" applyFill="1" applyAlignment="1">
      <alignment horizontal="center" vertical="center"/>
    </xf>
    <xf numFmtId="195" fontId="9" fillId="0" borderId="0" xfId="1" applyNumberFormat="1" applyFont="1" applyFill="1" applyAlignment="1">
      <alignment horizontal="center"/>
    </xf>
    <xf numFmtId="198" fontId="9" fillId="0" borderId="0" xfId="0" applyNumberFormat="1" applyFont="1" applyFill="1" applyAlignment="1">
      <alignment horizontal="center" vertical="center"/>
    </xf>
    <xf numFmtId="9" fontId="9" fillId="0" borderId="0" xfId="1" applyFont="1" applyFill="1" applyAlignment="1">
      <alignment horizontal="center" vertical="center"/>
    </xf>
    <xf numFmtId="226" fontId="6" fillId="0" borderId="0" xfId="0" applyNumberFormat="1" applyFont="1" applyFill="1" applyBorder="1" applyAlignment="1">
      <alignment horizontal="center" vertical="center"/>
    </xf>
    <xf numFmtId="190" fontId="9" fillId="0" borderId="0" xfId="0" applyNumberFormat="1" applyFont="1" applyFill="1" applyAlignment="1">
      <alignment horizontal="center" vertical="center"/>
    </xf>
    <xf numFmtId="195" fontId="12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175" fontId="58" fillId="0" borderId="0" xfId="1" applyNumberFormat="1" applyFont="1" applyFill="1" applyBorder="1" applyAlignment="1" applyProtection="1">
      <alignment horizontal="center" vertical="center"/>
    </xf>
    <xf numFmtId="195" fontId="1" fillId="0" borderId="0" xfId="0" applyNumberFormat="1" applyFont="1" applyFill="1" applyAlignment="1">
      <alignment horizontal="center" vertical="center"/>
    </xf>
    <xf numFmtId="175" fontId="4" fillId="0" borderId="0" xfId="1" applyNumberFormat="1" applyFont="1" applyFill="1" applyBorder="1" applyAlignment="1" applyProtection="1">
      <alignment horizontal="center" vertical="center"/>
    </xf>
    <xf numFmtId="0" fontId="58" fillId="0" borderId="0" xfId="0" applyFont="1" applyFill="1" applyAlignment="1">
      <alignment vertical="center"/>
    </xf>
    <xf numFmtId="0" fontId="58" fillId="0" borderId="0" xfId="0" applyFont="1" applyFill="1" applyAlignment="1">
      <alignment horizontal="center" vertical="center"/>
    </xf>
    <xf numFmtId="0" fontId="8" fillId="9" borderId="0" xfId="0" applyFont="1" applyFill="1" applyAlignment="1">
      <alignment vertical="center" wrapText="1"/>
    </xf>
    <xf numFmtId="195" fontId="11" fillId="9" borderId="0" xfId="0" applyNumberFormat="1" applyFont="1" applyFill="1" applyAlignment="1">
      <alignment horizontal="center" vertical="center"/>
    </xf>
    <xf numFmtId="182" fontId="6" fillId="9" borderId="0" xfId="0" applyNumberFormat="1" applyFont="1" applyFill="1" applyAlignment="1">
      <alignment horizontal="center" vertical="center"/>
    </xf>
    <xf numFmtId="175" fontId="4" fillId="9" borderId="0" xfId="1" applyNumberFormat="1" applyFont="1" applyFill="1" applyBorder="1" applyAlignment="1" applyProtection="1">
      <alignment horizontal="center" vertical="center"/>
    </xf>
    <xf numFmtId="182" fontId="11" fillId="9" borderId="0" xfId="0" applyNumberFormat="1" applyFont="1" applyFill="1" applyAlignment="1">
      <alignment horizontal="center" vertical="center"/>
    </xf>
    <xf numFmtId="175" fontId="58" fillId="9" borderId="0" xfId="1" applyNumberFormat="1" applyFont="1" applyFill="1" applyBorder="1" applyAlignment="1" applyProtection="1">
      <alignment horizontal="center" vertical="center"/>
    </xf>
    <xf numFmtId="0" fontId="8" fillId="9" borderId="0" xfId="0" applyFont="1" applyFill="1" applyBorder="1" applyAlignment="1">
      <alignment vertical="center" wrapText="1"/>
    </xf>
    <xf numFmtId="213" fontId="6" fillId="9" borderId="0" xfId="0" applyNumberFormat="1" applyFont="1" applyFill="1" applyBorder="1" applyAlignment="1">
      <alignment horizontal="center" vertical="center"/>
    </xf>
    <xf numFmtId="213" fontId="11" fillId="9" borderId="0" xfId="0" applyNumberFormat="1" applyFont="1" applyFill="1" applyBorder="1" applyAlignment="1">
      <alignment horizontal="center" vertical="center"/>
    </xf>
    <xf numFmtId="49" fontId="9" fillId="9" borderId="0" xfId="0" applyNumberFormat="1" applyFont="1" applyFill="1" applyBorder="1" applyAlignment="1">
      <alignment vertical="center" wrapText="1"/>
    </xf>
    <xf numFmtId="223" fontId="6" fillId="9" borderId="0" xfId="0" applyNumberFormat="1" applyFont="1" applyFill="1" applyBorder="1" applyAlignment="1">
      <alignment horizontal="center" vertical="center"/>
    </xf>
    <xf numFmtId="223" fontId="11" fillId="9" borderId="0" xfId="0" applyNumberFormat="1" applyFont="1" applyFill="1" applyBorder="1" applyAlignment="1">
      <alignment horizontal="center" vertical="center"/>
    </xf>
    <xf numFmtId="0" fontId="43" fillId="11" borderId="0" xfId="0" applyFont="1" applyFill="1"/>
    <xf numFmtId="9" fontId="13" fillId="0" borderId="0" xfId="1" applyFont="1" applyFill="1" applyBorder="1" applyAlignment="1" applyProtection="1">
      <alignment horizontal="center" vertical="center" wrapText="1"/>
    </xf>
    <xf numFmtId="49" fontId="6" fillId="0" borderId="0" xfId="0" applyNumberFormat="1" applyFont="1" applyFill="1" applyBorder="1" applyAlignment="1">
      <alignment horizontal="center"/>
    </xf>
    <xf numFmtId="9" fontId="13" fillId="0" borderId="3" xfId="1" applyFont="1" applyFill="1" applyBorder="1" applyAlignment="1" applyProtection="1">
      <alignment horizontal="center" vertical="center" wrapText="1"/>
    </xf>
    <xf numFmtId="9" fontId="13" fillId="0" borderId="16" xfId="1" applyFont="1" applyFill="1" applyBorder="1" applyAlignment="1" applyProtection="1">
      <alignment horizontal="center" vertical="center" wrapText="1"/>
    </xf>
    <xf numFmtId="9" fontId="13" fillId="0" borderId="1" xfId="1" applyFont="1" applyFill="1" applyBorder="1" applyAlignment="1" applyProtection="1">
      <alignment horizontal="center" vertical="center" wrapText="1"/>
    </xf>
    <xf numFmtId="175" fontId="13" fillId="0" borderId="3" xfId="1" applyNumberFormat="1" applyFont="1" applyFill="1" applyBorder="1" applyAlignment="1" applyProtection="1">
      <alignment horizontal="center" vertical="center" wrapText="1"/>
    </xf>
    <xf numFmtId="175" fontId="12" fillId="0" borderId="0" xfId="1" applyNumberFormat="1" applyFont="1" applyFill="1" applyBorder="1" applyAlignment="1" applyProtection="1">
      <alignment horizontal="center" vertical="center" wrapText="1"/>
    </xf>
    <xf numFmtId="0" fontId="64" fillId="8" borderId="0" xfId="0" applyFont="1" applyFill="1" applyBorder="1"/>
    <xf numFmtId="0" fontId="71" fillId="8" borderId="0" xfId="0" applyFont="1" applyFill="1"/>
    <xf numFmtId="0" fontId="32" fillId="8" borderId="0" xfId="0" applyFont="1" applyFill="1" applyBorder="1" applyAlignment="1">
      <alignment horizontal="center" vertical="center"/>
    </xf>
    <xf numFmtId="168" fontId="0" fillId="11" borderId="0" xfId="0" applyNumberFormat="1" applyFill="1"/>
    <xf numFmtId="168" fontId="9" fillId="11" borderId="0" xfId="0" applyNumberFormat="1" applyFont="1" applyFill="1"/>
    <xf numFmtId="168" fontId="10" fillId="11" borderId="0" xfId="0" applyNumberFormat="1" applyFont="1" applyFill="1"/>
    <xf numFmtId="0" fontId="17" fillId="8" borderId="0" xfId="0" applyFont="1" applyFill="1"/>
    <xf numFmtId="0" fontId="4" fillId="10" borderId="0" xfId="0" applyFont="1" applyFill="1"/>
    <xf numFmtId="169" fontId="0" fillId="10" borderId="0" xfId="0" applyNumberFormat="1" applyFill="1" applyAlignment="1">
      <alignment horizontal="center"/>
    </xf>
    <xf numFmtId="170" fontId="0" fillId="10" borderId="0" xfId="0" applyNumberFormat="1" applyFill="1" applyAlignment="1">
      <alignment horizontal="center"/>
    </xf>
    <xf numFmtId="0" fontId="1" fillId="10" borderId="0" xfId="0" applyFont="1" applyFill="1"/>
    <xf numFmtId="168" fontId="0" fillId="10" borderId="0" xfId="0" applyNumberFormat="1" applyFill="1" applyAlignment="1">
      <alignment horizontal="center"/>
    </xf>
    <xf numFmtId="177" fontId="38" fillId="8" borderId="0" xfId="0" applyNumberFormat="1" applyFont="1" applyFill="1" applyAlignment="1">
      <alignment horizontal="left"/>
    </xf>
    <xf numFmtId="0" fontId="40" fillId="8" borderId="0" xfId="0" applyFont="1" applyFill="1" applyAlignment="1">
      <alignment horizontal="right"/>
    </xf>
    <xf numFmtId="0" fontId="40" fillId="8" borderId="0" xfId="0" applyFont="1" applyFill="1"/>
    <xf numFmtId="0" fontId="32" fillId="8" borderId="0" xfId="0" applyFont="1" applyFill="1" applyBorder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2" fillId="0" borderId="0" xfId="0" applyFont="1" applyFill="1"/>
    <xf numFmtId="1" fontId="4" fillId="0" borderId="0" xfId="0" applyNumberFormat="1" applyFont="1" applyFill="1"/>
    <xf numFmtId="0" fontId="1" fillId="0" borderId="0" xfId="0" applyFont="1" applyFill="1" applyAlignment="1">
      <alignment horizontal="center"/>
    </xf>
    <xf numFmtId="180" fontId="4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right"/>
    </xf>
    <xf numFmtId="49" fontId="1" fillId="0" borderId="0" xfId="0" applyNumberFormat="1" applyFont="1" applyFill="1" applyAlignment="1">
      <alignment horizontal="left" vertical="center" wrapText="1"/>
    </xf>
    <xf numFmtId="170" fontId="1" fillId="0" borderId="0" xfId="0" applyNumberFormat="1" applyFont="1" applyFill="1" applyAlignment="1">
      <alignment horizontal="center" vertical="center"/>
    </xf>
    <xf numFmtId="174" fontId="4" fillId="0" borderId="0" xfId="0" applyNumberFormat="1" applyFont="1" applyFill="1" applyAlignment="1">
      <alignment horizontal="center" vertical="center"/>
    </xf>
    <xf numFmtId="170" fontId="4" fillId="0" borderId="0" xfId="0" applyNumberFormat="1" applyFont="1" applyFill="1" applyAlignment="1">
      <alignment horizontal="center" vertical="center"/>
    </xf>
    <xf numFmtId="9" fontId="4" fillId="0" borderId="2" xfId="1" applyFont="1" applyFill="1" applyBorder="1" applyAlignment="1">
      <alignment horizontal="center" vertical="center"/>
    </xf>
    <xf numFmtId="170" fontId="13" fillId="0" borderId="2" xfId="0" applyNumberFormat="1" applyFont="1" applyFill="1" applyBorder="1" applyAlignment="1">
      <alignment horizontal="center"/>
    </xf>
    <xf numFmtId="0" fontId="13" fillId="0" borderId="2" xfId="0" applyFont="1" applyFill="1" applyBorder="1"/>
    <xf numFmtId="3" fontId="0" fillId="0" borderId="0" xfId="0" applyNumberFormat="1" applyFill="1" applyAlignment="1">
      <alignment horizontal="center" vertical="center"/>
    </xf>
    <xf numFmtId="9" fontId="0" fillId="0" borderId="0" xfId="1" applyFont="1" applyFill="1" applyAlignment="1">
      <alignment horizontal="center" vertical="center"/>
    </xf>
    <xf numFmtId="0" fontId="18" fillId="10" borderId="0" xfId="0" applyFont="1" applyFill="1"/>
    <xf numFmtId="0" fontId="23" fillId="10" borderId="0" xfId="0" applyFont="1" applyFill="1"/>
    <xf numFmtId="0" fontId="38" fillId="8" borderId="0" xfId="0" applyFont="1" applyFill="1" applyAlignment="1"/>
    <xf numFmtId="0" fontId="63" fillId="8" borderId="0" xfId="0" applyFont="1" applyFill="1" applyAlignment="1">
      <alignment horizontal="left"/>
    </xf>
    <xf numFmtId="0" fontId="37" fillId="8" borderId="0" xfId="0" applyFont="1" applyFill="1" applyAlignment="1">
      <alignment horizontal="left"/>
    </xf>
    <xf numFmtId="0" fontId="9" fillId="8" borderId="0" xfId="0" applyFont="1" applyFill="1" applyBorder="1" applyAlignment="1">
      <alignment horizontal="center"/>
    </xf>
    <xf numFmtId="0" fontId="6" fillId="10" borderId="0" xfId="0" applyFont="1" applyFill="1" applyAlignment="1">
      <alignment horizontal="left"/>
    </xf>
    <xf numFmtId="182" fontId="12" fillId="0" borderId="0" xfId="0" applyNumberFormat="1" applyFont="1" applyFill="1" applyBorder="1" applyAlignment="1">
      <alignment horizontal="center"/>
    </xf>
    <xf numFmtId="0" fontId="73" fillId="0" borderId="0" xfId="0" applyFont="1"/>
    <xf numFmtId="229" fontId="0" fillId="0" borderId="0" xfId="0" applyNumberFormat="1" applyFill="1" applyAlignment="1">
      <alignment horizontal="center"/>
    </xf>
    <xf numFmtId="170" fontId="4" fillId="3" borderId="1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73" fillId="0" borderId="0" xfId="0" applyFont="1" applyFill="1"/>
    <xf numFmtId="1" fontId="19" fillId="0" borderId="0" xfId="0" applyNumberFormat="1" applyFont="1" applyFill="1" applyAlignment="1">
      <alignment horizontal="center"/>
    </xf>
    <xf numFmtId="170" fontId="14" fillId="0" borderId="0" xfId="0" applyNumberFormat="1" applyFont="1" applyFill="1" applyAlignment="1">
      <alignment horizontal="center"/>
    </xf>
    <xf numFmtId="9" fontId="19" fillId="0" borderId="0" xfId="1" applyFont="1" applyFill="1" applyAlignment="1">
      <alignment horizontal="center"/>
    </xf>
    <xf numFmtId="0" fontId="0" fillId="11" borderId="0" xfId="0" applyFill="1" applyBorder="1"/>
    <xf numFmtId="0" fontId="0" fillId="11" borderId="0" xfId="0" applyFill="1" applyBorder="1" applyAlignment="1">
      <alignment horizontal="center"/>
    </xf>
    <xf numFmtId="1" fontId="73" fillId="0" borderId="0" xfId="0" applyNumberFormat="1" applyFont="1" applyBorder="1"/>
    <xf numFmtId="195" fontId="12" fillId="3" borderId="2" xfId="0" applyNumberFormat="1" applyFont="1" applyFill="1" applyBorder="1" applyAlignment="1">
      <alignment horizontal="center"/>
    </xf>
    <xf numFmtId="9" fontId="13" fillId="0" borderId="0" xfId="1" applyFont="1" applyFill="1" applyBorder="1" applyAlignment="1">
      <alignment horizontal="center"/>
    </xf>
    <xf numFmtId="0" fontId="9" fillId="10" borderId="0" xfId="0" applyFont="1" applyFill="1" applyBorder="1" applyAlignment="1">
      <alignment horizontal="left" vertical="center" wrapText="1"/>
    </xf>
    <xf numFmtId="0" fontId="9" fillId="10" borderId="0" xfId="0" applyFont="1" applyFill="1" applyAlignment="1">
      <alignment vertical="center" wrapText="1"/>
    </xf>
    <xf numFmtId="0" fontId="0" fillId="0" borderId="0" xfId="0" applyAlignment="1"/>
    <xf numFmtId="228" fontId="10" fillId="0" borderId="0" xfId="0" applyNumberFormat="1" applyFont="1" applyBorder="1"/>
    <xf numFmtId="0" fontId="13" fillId="0" borderId="0" xfId="0" applyFont="1" applyFill="1" applyBorder="1" applyAlignment="1">
      <alignment wrapText="1"/>
    </xf>
    <xf numFmtId="0" fontId="8" fillId="0" borderId="0" xfId="0" applyFont="1" applyBorder="1"/>
    <xf numFmtId="195" fontId="12" fillId="3" borderId="0" xfId="0" applyNumberFormat="1" applyFont="1" applyFill="1" applyBorder="1" applyAlignment="1">
      <alignment horizontal="center"/>
    </xf>
    <xf numFmtId="169" fontId="13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Alignment="1">
      <alignment horizontal="center"/>
    </xf>
    <xf numFmtId="213" fontId="1" fillId="0" borderId="0" xfId="0" applyNumberFormat="1" applyFont="1" applyFill="1" applyBorder="1" applyAlignment="1">
      <alignment horizontal="center"/>
    </xf>
    <xf numFmtId="0" fontId="33" fillId="7" borderId="0" xfId="0" applyFont="1" applyFill="1" applyAlignment="1">
      <alignment horizontal="left" vertical="center"/>
    </xf>
    <xf numFmtId="0" fontId="33" fillId="8" borderId="0" xfId="0" applyFont="1" applyFill="1" applyAlignment="1">
      <alignment horizontal="left" vertical="center"/>
    </xf>
    <xf numFmtId="0" fontId="75" fillId="0" borderId="0" xfId="0" applyFont="1" applyFill="1"/>
    <xf numFmtId="0" fontId="1" fillId="0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center" wrapText="1"/>
    </xf>
    <xf numFmtId="0" fontId="13" fillId="2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vertical="center" wrapText="1"/>
    </xf>
    <xf numFmtId="176" fontId="13" fillId="0" borderId="0" xfId="0" applyNumberFormat="1" applyFont="1" applyFill="1" applyAlignment="1">
      <alignment horizontal="center" vertical="center"/>
    </xf>
    <xf numFmtId="2" fontId="13" fillId="0" borderId="0" xfId="0" applyNumberFormat="1" applyFont="1" applyFill="1" applyAlignment="1">
      <alignment horizontal="center" vertical="center" wrapText="1"/>
    </xf>
    <xf numFmtId="0" fontId="73" fillId="0" borderId="0" xfId="0" applyFont="1" applyFill="1" applyAlignment="1">
      <alignment horizontal="center"/>
    </xf>
    <xf numFmtId="0" fontId="13" fillId="2" borderId="0" xfId="0" applyFont="1" applyFill="1"/>
    <xf numFmtId="0" fontId="32" fillId="0" borderId="0" xfId="0" applyFont="1" applyFill="1" applyBorder="1" applyAlignment="1">
      <alignment horizontal="center" vertical="center"/>
    </xf>
    <xf numFmtId="0" fontId="8" fillId="2" borderId="0" xfId="0" applyFont="1" applyFill="1"/>
    <xf numFmtId="9" fontId="4" fillId="2" borderId="0" xfId="1" applyFill="1" applyAlignment="1">
      <alignment horizontal="center"/>
    </xf>
    <xf numFmtId="168" fontId="0" fillId="2" borderId="0" xfId="0" applyNumberFormat="1" applyFill="1"/>
    <xf numFmtId="169" fontId="0" fillId="2" borderId="0" xfId="0" applyNumberFormat="1" applyFill="1" applyBorder="1" applyAlignment="1">
      <alignment horizontal="center"/>
    </xf>
    <xf numFmtId="170" fontId="0" fillId="2" borderId="0" xfId="0" applyNumberFormat="1" applyFill="1" applyBorder="1" applyAlignment="1">
      <alignment horizontal="center"/>
    </xf>
    <xf numFmtId="0" fontId="27" fillId="10" borderId="0" xfId="0" applyFont="1" applyFill="1"/>
    <xf numFmtId="0" fontId="73" fillId="10" borderId="0" xfId="0" applyFont="1" applyFill="1"/>
    <xf numFmtId="214" fontId="77" fillId="10" borderId="0" xfId="0" applyNumberFormat="1" applyFont="1" applyFill="1" applyAlignment="1">
      <alignment horizontal="center"/>
    </xf>
    <xf numFmtId="0" fontId="77" fillId="10" borderId="0" xfId="0" applyFont="1" applyFill="1"/>
    <xf numFmtId="0" fontId="76" fillId="10" borderId="0" xfId="0" applyFont="1" applyFill="1" applyAlignment="1">
      <alignment horizontal="left" vertical="center"/>
    </xf>
    <xf numFmtId="0" fontId="75" fillId="10" borderId="0" xfId="0" applyFont="1" applyFill="1"/>
    <xf numFmtId="0" fontId="76" fillId="10" borderId="0" xfId="0" applyFont="1" applyFill="1"/>
    <xf numFmtId="2" fontId="13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2" fontId="13" fillId="0" borderId="1" xfId="0" applyNumberFormat="1" applyFont="1" applyFill="1" applyBorder="1" applyAlignment="1">
      <alignment horizontal="center"/>
    </xf>
    <xf numFmtId="1" fontId="13" fillId="0" borderId="1" xfId="0" applyNumberFormat="1" applyFont="1" applyFill="1" applyBorder="1" applyAlignment="1">
      <alignment horizontal="center"/>
    </xf>
    <xf numFmtId="169" fontId="13" fillId="0" borderId="1" xfId="0" applyNumberFormat="1" applyFont="1" applyFill="1" applyBorder="1" applyAlignment="1">
      <alignment horizontal="center"/>
    </xf>
    <xf numFmtId="0" fontId="11" fillId="11" borderId="0" xfId="0" applyFont="1" applyFill="1"/>
    <xf numFmtId="0" fontId="13" fillId="3" borderId="0" xfId="0" applyFont="1" applyFill="1" applyBorder="1" applyAlignment="1">
      <alignment horizontal="left"/>
    </xf>
    <xf numFmtId="0" fontId="78" fillId="0" borderId="0" xfId="0" applyFont="1" applyFill="1"/>
    <xf numFmtId="0" fontId="78" fillId="10" borderId="0" xfId="0" applyFont="1" applyFill="1" applyAlignment="1">
      <alignment horizontal="center"/>
    </xf>
    <xf numFmtId="0" fontId="79" fillId="10" borderId="0" xfId="0" applyFont="1" applyFill="1" applyBorder="1" applyAlignment="1">
      <alignment horizontal="center"/>
    </xf>
    <xf numFmtId="0" fontId="78" fillId="10" borderId="0" xfId="0" applyFont="1" applyFill="1" applyBorder="1"/>
    <xf numFmtId="0" fontId="79" fillId="10" borderId="0" xfId="0" applyFont="1" applyFill="1" applyBorder="1"/>
    <xf numFmtId="0" fontId="78" fillId="10" borderId="0" xfId="0" applyFont="1" applyFill="1" applyBorder="1" applyAlignment="1">
      <alignment horizontal="center"/>
    </xf>
    <xf numFmtId="0" fontId="79" fillId="10" borderId="0" xfId="0" applyFont="1" applyFill="1" applyAlignment="1">
      <alignment horizontal="center"/>
    </xf>
    <xf numFmtId="0" fontId="78" fillId="10" borderId="0" xfId="0" applyFont="1" applyFill="1"/>
    <xf numFmtId="0" fontId="79" fillId="10" borderId="0" xfId="0" applyFont="1" applyFill="1"/>
    <xf numFmtId="0" fontId="79" fillId="0" borderId="0" xfId="0" applyFont="1" applyFill="1"/>
    <xf numFmtId="0" fontId="80" fillId="10" borderId="0" xfId="0" applyFont="1" applyFill="1"/>
    <xf numFmtId="0" fontId="80" fillId="10" borderId="0" xfId="0" applyFont="1" applyFill="1" applyAlignment="1">
      <alignment horizontal="center"/>
    </xf>
    <xf numFmtId="0" fontId="81" fillId="10" borderId="0" xfId="0" applyFont="1" applyFill="1" applyAlignment="1">
      <alignment horizontal="center"/>
    </xf>
    <xf numFmtId="0" fontId="81" fillId="10" borderId="0" xfId="0" applyFont="1" applyFill="1"/>
    <xf numFmtId="0" fontId="80" fillId="0" borderId="0" xfId="0" applyFont="1"/>
    <xf numFmtId="0" fontId="81" fillId="0" borderId="0" xfId="0" applyFont="1"/>
    <xf numFmtId="194" fontId="11" fillId="10" borderId="0" xfId="0" applyNumberFormat="1" applyFont="1" applyFill="1" applyAlignment="1">
      <alignment horizontal="left"/>
    </xf>
    <xf numFmtId="194" fontId="82" fillId="10" borderId="0" xfId="0" applyNumberFormat="1" applyFont="1" applyFill="1" applyAlignment="1">
      <alignment horizontal="left"/>
    </xf>
    <xf numFmtId="173" fontId="12" fillId="0" borderId="0" xfId="0" applyNumberFormat="1" applyFont="1" applyFill="1" applyBorder="1" applyAlignment="1">
      <alignment horizontal="center"/>
    </xf>
    <xf numFmtId="172" fontId="12" fillId="0" borderId="0" xfId="0" applyNumberFormat="1" applyFont="1" applyFill="1" applyBorder="1" applyAlignment="1">
      <alignment horizontal="center"/>
    </xf>
    <xf numFmtId="169" fontId="12" fillId="0" borderId="0" xfId="0" applyNumberFormat="1" applyFont="1" applyFill="1" applyBorder="1" applyAlignment="1">
      <alignment horizontal="center"/>
    </xf>
    <xf numFmtId="170" fontId="13" fillId="0" borderId="3" xfId="0" applyNumberFormat="1" applyFont="1" applyFill="1" applyBorder="1" applyAlignment="1">
      <alignment horizontal="center"/>
    </xf>
    <xf numFmtId="170" fontId="1" fillId="11" borderId="29" xfId="0" applyNumberFormat="1" applyFont="1" applyFill="1" applyBorder="1" applyAlignment="1">
      <alignment horizontal="center"/>
    </xf>
    <xf numFmtId="170" fontId="12" fillId="0" borderId="3" xfId="0" applyNumberFormat="1" applyFont="1" applyFill="1" applyBorder="1" applyAlignment="1">
      <alignment horizontal="center"/>
    </xf>
    <xf numFmtId="9" fontId="12" fillId="0" borderId="2" xfId="1" applyFont="1" applyFill="1" applyBorder="1" applyAlignment="1">
      <alignment horizontal="center"/>
    </xf>
    <xf numFmtId="9" fontId="12" fillId="0" borderId="2" xfId="1" applyFont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195" fontId="12" fillId="0" borderId="1" xfId="0" applyNumberFormat="1" applyFont="1" applyBorder="1" applyAlignment="1">
      <alignment horizontal="center"/>
    </xf>
    <xf numFmtId="0" fontId="9" fillId="0" borderId="5" xfId="0" applyFont="1" applyFill="1" applyBorder="1"/>
    <xf numFmtId="214" fontId="6" fillId="10" borderId="0" xfId="0" applyNumberFormat="1" applyFont="1" applyFill="1" applyBorder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left"/>
    </xf>
    <xf numFmtId="169" fontId="9" fillId="0" borderId="0" xfId="0" applyNumberFormat="1" applyFont="1" applyFill="1" applyBorder="1" applyAlignment="1">
      <alignment horizontal="center"/>
    </xf>
    <xf numFmtId="0" fontId="18" fillId="0" borderId="0" xfId="0" applyFont="1" applyFill="1" applyBorder="1"/>
    <xf numFmtId="194" fontId="72" fillId="0" borderId="0" xfId="0" applyNumberFormat="1" applyFont="1" applyFill="1" applyBorder="1" applyAlignment="1">
      <alignment horizontal="left"/>
    </xf>
    <xf numFmtId="195" fontId="0" fillId="0" borderId="0" xfId="0" applyNumberFormat="1" applyFill="1" applyBorder="1" applyAlignment="1">
      <alignment horizontal="center"/>
    </xf>
    <xf numFmtId="195" fontId="13" fillId="0" borderId="0" xfId="0" applyNumberFormat="1" applyFont="1" applyFill="1" applyBorder="1" applyAlignment="1">
      <alignment horizontal="center"/>
    </xf>
    <xf numFmtId="170" fontId="0" fillId="0" borderId="0" xfId="0" applyNumberFormat="1" applyFill="1" applyBorder="1"/>
    <xf numFmtId="172" fontId="0" fillId="0" borderId="0" xfId="0" applyNumberFormat="1" applyFill="1" applyBorder="1" applyAlignment="1">
      <alignment horizontal="center"/>
    </xf>
    <xf numFmtId="173" fontId="0" fillId="0" borderId="0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0" fontId="13" fillId="0" borderId="19" xfId="0" applyFont="1" applyBorder="1"/>
    <xf numFmtId="0" fontId="13" fillId="0" borderId="0" xfId="0" applyFont="1" applyBorder="1" applyAlignment="1">
      <alignment horizontal="center"/>
    </xf>
    <xf numFmtId="170" fontId="13" fillId="0" borderId="0" xfId="0" applyNumberFormat="1" applyFont="1" applyFill="1" applyBorder="1"/>
    <xf numFmtId="172" fontId="13" fillId="0" borderId="0" xfId="0" applyNumberFormat="1" applyFont="1" applyFill="1" applyBorder="1" applyAlignment="1">
      <alignment horizontal="center"/>
    </xf>
    <xf numFmtId="173" fontId="13" fillId="0" borderId="0" xfId="0" applyNumberFormat="1" applyFont="1" applyFill="1" applyBorder="1" applyAlignment="1">
      <alignment horizontal="center"/>
    </xf>
    <xf numFmtId="164" fontId="13" fillId="0" borderId="2" xfId="0" applyNumberFormat="1" applyFont="1" applyFill="1" applyBorder="1" applyAlignment="1">
      <alignment horizontal="center"/>
    </xf>
    <xf numFmtId="0" fontId="12" fillId="0" borderId="19" xfId="0" applyFont="1" applyBorder="1"/>
    <xf numFmtId="195" fontId="12" fillId="0" borderId="0" xfId="0" applyNumberFormat="1" applyFont="1" applyFill="1" applyBorder="1" applyAlignment="1">
      <alignment horizontal="center"/>
    </xf>
    <xf numFmtId="170" fontId="12" fillId="0" borderId="0" xfId="0" applyNumberFormat="1" applyFont="1" applyFill="1" applyBorder="1"/>
    <xf numFmtId="9" fontId="12" fillId="0" borderId="0" xfId="1" applyFont="1" applyFill="1" applyBorder="1" applyAlignment="1">
      <alignment horizontal="center"/>
    </xf>
    <xf numFmtId="164" fontId="12" fillId="0" borderId="2" xfId="0" applyNumberFormat="1" applyFont="1" applyFill="1" applyBorder="1" applyAlignment="1">
      <alignment horizontal="center"/>
    </xf>
    <xf numFmtId="0" fontId="4" fillId="0" borderId="19" xfId="0" applyFont="1" applyBorder="1"/>
    <xf numFmtId="0" fontId="4" fillId="0" borderId="0" xfId="0" applyFont="1" applyBorder="1" applyAlignment="1">
      <alignment horizontal="center"/>
    </xf>
    <xf numFmtId="195" fontId="0" fillId="0" borderId="0" xfId="0" applyNumberFormat="1" applyBorder="1" applyAlignment="1">
      <alignment horizontal="center"/>
    </xf>
    <xf numFmtId="195" fontId="13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0" xfId="0" applyBorder="1"/>
    <xf numFmtId="170" fontId="0" fillId="0" borderId="1" xfId="0" applyNumberFormat="1" applyFill="1" applyBorder="1"/>
    <xf numFmtId="172" fontId="0" fillId="0" borderId="1" xfId="0" applyNumberFormat="1" applyFill="1" applyBorder="1" applyAlignment="1">
      <alignment horizontal="center"/>
    </xf>
    <xf numFmtId="173" fontId="0" fillId="0" borderId="1" xfId="0" applyNumberFormat="1" applyFill="1" applyBorder="1" applyAlignment="1">
      <alignment horizontal="center"/>
    </xf>
    <xf numFmtId="164" fontId="0" fillId="0" borderId="4" xfId="0" applyNumberFormat="1" applyFill="1" applyBorder="1" applyAlignment="1">
      <alignment horizontal="center"/>
    </xf>
    <xf numFmtId="0" fontId="0" fillId="10" borderId="17" xfId="0" applyFill="1" applyBorder="1"/>
    <xf numFmtId="0" fontId="0" fillId="10" borderId="18" xfId="0" applyFill="1" applyBorder="1"/>
    <xf numFmtId="0" fontId="0" fillId="10" borderId="20" xfId="0" applyFill="1" applyBorder="1"/>
    <xf numFmtId="0" fontId="0" fillId="10" borderId="1" xfId="0" applyFill="1" applyBorder="1"/>
    <xf numFmtId="0" fontId="0" fillId="10" borderId="10" xfId="0" applyFill="1" applyBorder="1"/>
    <xf numFmtId="0" fontId="67" fillId="10" borderId="1" xfId="0" applyFont="1" applyFill="1" applyBorder="1" applyAlignment="1">
      <alignment horizontal="center"/>
    </xf>
    <xf numFmtId="0" fontId="67" fillId="10" borderId="4" xfId="0" applyFont="1" applyFill="1" applyBorder="1" applyAlignment="1">
      <alignment horizontal="center"/>
    </xf>
    <xf numFmtId="170" fontId="0" fillId="12" borderId="13" xfId="0" applyNumberFormat="1" applyFill="1" applyBorder="1" applyAlignment="1">
      <alignment horizontal="center"/>
    </xf>
    <xf numFmtId="170" fontId="13" fillId="12" borderId="13" xfId="0" applyNumberFormat="1" applyFont="1" applyFill="1" applyBorder="1" applyAlignment="1">
      <alignment horizontal="center"/>
    </xf>
    <xf numFmtId="170" fontId="12" fillId="12" borderId="13" xfId="0" applyNumberFormat="1" applyFont="1" applyFill="1" applyBorder="1" applyAlignment="1">
      <alignment horizontal="center"/>
    </xf>
    <xf numFmtId="170" fontId="4" fillId="12" borderId="13" xfId="0" applyNumberFormat="1" applyFont="1" applyFill="1" applyBorder="1" applyAlignment="1">
      <alignment horizontal="center"/>
    </xf>
    <xf numFmtId="170" fontId="13" fillId="12" borderId="29" xfId="0" applyNumberFormat="1" applyFont="1" applyFill="1" applyBorder="1" applyAlignment="1">
      <alignment horizontal="center"/>
    </xf>
    <xf numFmtId="0" fontId="11" fillId="12" borderId="24" xfId="0" applyFont="1" applyFill="1" applyBorder="1" applyAlignment="1">
      <alignment horizontal="center" vertical="center" wrapText="1"/>
    </xf>
    <xf numFmtId="0" fontId="58" fillId="12" borderId="29" xfId="0" applyFont="1" applyFill="1" applyBorder="1" applyAlignment="1">
      <alignment horizontal="center"/>
    </xf>
    <xf numFmtId="170" fontId="58" fillId="12" borderId="13" xfId="0" applyNumberFormat="1" applyFont="1" applyFill="1" applyBorder="1" applyAlignment="1">
      <alignment horizontal="center"/>
    </xf>
    <xf numFmtId="170" fontId="1" fillId="12" borderId="13" xfId="0" applyNumberFormat="1" applyFont="1" applyFill="1" applyBorder="1" applyAlignment="1">
      <alignment horizontal="center"/>
    </xf>
    <xf numFmtId="170" fontId="4" fillId="12" borderId="29" xfId="0" applyNumberFormat="1" applyFont="1" applyFill="1" applyBorder="1" applyAlignment="1">
      <alignment horizontal="center"/>
    </xf>
    <xf numFmtId="9" fontId="4" fillId="0" borderId="1" xfId="1" applyFill="1" applyBorder="1" applyAlignment="1">
      <alignment horizontal="center"/>
    </xf>
    <xf numFmtId="0" fontId="15" fillId="0" borderId="0" xfId="0" applyFont="1" applyFill="1"/>
    <xf numFmtId="0" fontId="5" fillId="0" borderId="0" xfId="0" applyFont="1" applyFill="1" applyBorder="1"/>
    <xf numFmtId="168" fontId="6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168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3" fontId="0" fillId="3" borderId="0" xfId="0" applyNumberFormat="1" applyFill="1" applyBorder="1" applyAlignment="1">
      <alignment horizontal="center"/>
    </xf>
    <xf numFmtId="192" fontId="0" fillId="3" borderId="0" xfId="0" applyNumberFormat="1" applyFill="1" applyBorder="1" applyAlignment="1">
      <alignment horizontal="center"/>
    </xf>
    <xf numFmtId="172" fontId="0" fillId="3" borderId="0" xfId="0" applyNumberFormat="1" applyFill="1" applyBorder="1" applyAlignment="1">
      <alignment horizontal="center"/>
    </xf>
    <xf numFmtId="1" fontId="13" fillId="3" borderId="0" xfId="0" applyNumberFormat="1" applyFont="1" applyFill="1" applyBorder="1" applyAlignment="1">
      <alignment horizontal="center"/>
    </xf>
    <xf numFmtId="218" fontId="13" fillId="3" borderId="0" xfId="0" applyNumberFormat="1" applyFont="1" applyFill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218" fontId="13" fillId="0" borderId="0" xfId="0" applyNumberFormat="1" applyFont="1" applyFill="1" applyBorder="1" applyAlignment="1">
      <alignment horizontal="center"/>
    </xf>
    <xf numFmtId="169" fontId="13" fillId="3" borderId="0" xfId="0" applyNumberFormat="1" applyFont="1" applyFill="1" applyBorder="1" applyAlignment="1">
      <alignment horizontal="center"/>
    </xf>
    <xf numFmtId="218" fontId="13" fillId="0" borderId="0" xfId="0" applyNumberFormat="1" applyFont="1" applyBorder="1" applyAlignment="1">
      <alignment horizontal="center"/>
    </xf>
    <xf numFmtId="169" fontId="13" fillId="0" borderId="3" xfId="0" applyNumberFormat="1" applyFont="1" applyFill="1" applyBorder="1" applyAlignment="1">
      <alignment horizontal="center"/>
    </xf>
    <xf numFmtId="168" fontId="12" fillId="2" borderId="0" xfId="0" applyNumberFormat="1" applyFont="1" applyFill="1" applyBorder="1" applyAlignment="1">
      <alignment horizontal="center" vertical="center"/>
    </xf>
    <xf numFmtId="169" fontId="12" fillId="2" borderId="0" xfId="0" applyNumberFormat="1" applyFont="1" applyFill="1" applyBorder="1" applyAlignment="1">
      <alignment horizontal="center"/>
    </xf>
    <xf numFmtId="168" fontId="13" fillId="3" borderId="0" xfId="0" applyNumberFormat="1" applyFont="1" applyFill="1" applyBorder="1" applyAlignment="1">
      <alignment horizontal="center"/>
    </xf>
    <xf numFmtId="168" fontId="13" fillId="0" borderId="0" xfId="0" applyNumberFormat="1" applyFont="1" applyFill="1" applyBorder="1" applyAlignment="1">
      <alignment horizontal="center"/>
    </xf>
    <xf numFmtId="1" fontId="0" fillId="3" borderId="0" xfId="0" applyNumberForma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82" fontId="13" fillId="0" borderId="0" xfId="0" applyNumberFormat="1" applyFont="1" applyFill="1" applyBorder="1" applyAlignment="1">
      <alignment horizontal="center"/>
    </xf>
    <xf numFmtId="209" fontId="0" fillId="0" borderId="0" xfId="0" applyNumberFormat="1" applyBorder="1" applyAlignment="1">
      <alignment horizontal="center"/>
    </xf>
    <xf numFmtId="230" fontId="0" fillId="3" borderId="0" xfId="0" applyNumberFormat="1" applyFill="1" applyBorder="1" applyAlignment="1">
      <alignment horizontal="center"/>
    </xf>
    <xf numFmtId="230" fontId="0" fillId="0" borderId="0" xfId="0" applyNumberFormat="1" applyFill="1" applyBorder="1" applyAlignment="1">
      <alignment horizontal="center"/>
    </xf>
    <xf numFmtId="4" fontId="0" fillId="3" borderId="0" xfId="0" applyNumberFormat="1" applyFill="1" applyBorder="1" applyAlignment="1">
      <alignment horizontal="center"/>
    </xf>
    <xf numFmtId="169" fontId="6" fillId="11" borderId="0" xfId="0" applyNumberFormat="1" applyFont="1" applyFill="1" applyBorder="1" applyAlignment="1">
      <alignment horizontal="center"/>
    </xf>
    <xf numFmtId="0" fontId="5" fillId="11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13" fillId="11" borderId="0" xfId="0" applyFont="1" applyFill="1" applyBorder="1" applyAlignment="1">
      <alignment horizontal="right"/>
    </xf>
    <xf numFmtId="0" fontId="73" fillId="11" borderId="0" xfId="0" applyFont="1" applyFill="1" applyAlignment="1">
      <alignment horizontal="center"/>
    </xf>
    <xf numFmtId="0" fontId="73" fillId="2" borderId="0" xfId="0" applyFont="1" applyFill="1" applyAlignment="1">
      <alignment horizontal="center"/>
    </xf>
    <xf numFmtId="0" fontId="34" fillId="0" borderId="0" xfId="0" applyFont="1" applyFill="1"/>
    <xf numFmtId="168" fontId="34" fillId="0" borderId="0" xfId="0" applyNumberFormat="1" applyFont="1" applyFill="1" applyAlignment="1">
      <alignment horizontal="center"/>
    </xf>
    <xf numFmtId="169" fontId="34" fillId="0" borderId="0" xfId="0" applyNumberFormat="1" applyFont="1" applyFill="1" applyAlignment="1">
      <alignment horizontal="center"/>
    </xf>
    <xf numFmtId="170" fontId="33" fillId="0" borderId="0" xfId="0" applyNumberFormat="1" applyFont="1" applyFill="1" applyBorder="1" applyAlignment="1">
      <alignment horizontal="center"/>
    </xf>
    <xf numFmtId="3" fontId="13" fillId="9" borderId="0" xfId="0" applyNumberFormat="1" applyFont="1" applyFill="1" applyAlignment="1">
      <alignment horizontal="center" vertical="center"/>
    </xf>
    <xf numFmtId="181" fontId="12" fillId="9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Border="1"/>
    <xf numFmtId="168" fontId="13" fillId="3" borderId="0" xfId="0" applyNumberFormat="1" applyFont="1" applyFill="1" applyAlignment="1">
      <alignment horizontal="center"/>
    </xf>
    <xf numFmtId="185" fontId="0" fillId="3" borderId="0" xfId="0" applyNumberFormat="1" applyFill="1" applyAlignment="1">
      <alignment horizontal="center"/>
    </xf>
    <xf numFmtId="225" fontId="0" fillId="3" borderId="0" xfId="0" applyNumberFormat="1" applyFill="1" applyAlignment="1">
      <alignment horizontal="center"/>
    </xf>
    <xf numFmtId="9" fontId="4" fillId="3" borderId="0" xfId="0" applyNumberFormat="1" applyFont="1" applyFill="1" applyBorder="1" applyAlignment="1">
      <alignment wrapText="1"/>
    </xf>
    <xf numFmtId="0" fontId="12" fillId="13" borderId="0" xfId="0" applyFont="1" applyFill="1" applyBorder="1" applyAlignment="1">
      <alignment horizontal="right" vertical="center" wrapText="1"/>
    </xf>
    <xf numFmtId="0" fontId="13" fillId="13" borderId="0" xfId="0" applyFont="1" applyFill="1" applyAlignment="1">
      <alignment horizontal="right" vertical="center" wrapText="1"/>
    </xf>
    <xf numFmtId="0" fontId="12" fillId="13" borderId="0" xfId="0" applyFont="1" applyFill="1" applyAlignment="1">
      <alignment horizontal="right" vertical="center" wrapText="1"/>
    </xf>
    <xf numFmtId="9" fontId="13" fillId="13" borderId="0" xfId="0" applyNumberFormat="1" applyFont="1" applyFill="1" applyAlignment="1">
      <alignment horizontal="right" vertical="center" wrapText="1"/>
    </xf>
    <xf numFmtId="0" fontId="0" fillId="14" borderId="0" xfId="0" applyFill="1" applyAlignment="1">
      <alignment horizontal="center"/>
    </xf>
    <xf numFmtId="0" fontId="13" fillId="14" borderId="0" xfId="0" applyFont="1" applyFill="1" applyAlignment="1">
      <alignment horizontal="center"/>
    </xf>
    <xf numFmtId="0" fontId="4" fillId="11" borderId="0" xfId="0" applyFont="1" applyFill="1" applyAlignment="1">
      <alignment horizontal="right"/>
    </xf>
    <xf numFmtId="0" fontId="4" fillId="11" borderId="0" xfId="0" applyFont="1" applyFill="1" applyBorder="1" applyAlignment="1">
      <alignment horizontal="right"/>
    </xf>
    <xf numFmtId="2" fontId="4" fillId="0" borderId="0" xfId="0" applyNumberFormat="1" applyFont="1" applyFill="1"/>
    <xf numFmtId="0" fontId="5" fillId="11" borderId="0" xfId="0" applyFont="1" applyFill="1" applyAlignment="1">
      <alignment horizontal="center" vertical="center"/>
    </xf>
    <xf numFmtId="0" fontId="5" fillId="13" borderId="0" xfId="0" applyFont="1" applyFill="1" applyAlignment="1">
      <alignment horizontal="center" vertical="center"/>
    </xf>
    <xf numFmtId="0" fontId="6" fillId="11" borderId="3" xfId="0" applyFont="1" applyFill="1" applyBorder="1"/>
    <xf numFmtId="0" fontId="4" fillId="11" borderId="3" xfId="0" applyFont="1" applyFill="1" applyBorder="1"/>
    <xf numFmtId="170" fontId="67" fillId="11" borderId="3" xfId="0" applyNumberFormat="1" applyFont="1" applyFill="1" applyBorder="1" applyAlignment="1">
      <alignment horizontal="center"/>
    </xf>
    <xf numFmtId="0" fontId="4" fillId="0" borderId="3" xfId="0" applyFont="1" applyFill="1" applyBorder="1"/>
    <xf numFmtId="0" fontId="4" fillId="0" borderId="2" xfId="0" applyFont="1" applyFill="1" applyBorder="1"/>
    <xf numFmtId="0" fontId="4" fillId="0" borderId="3" xfId="0" applyFont="1" applyBorder="1"/>
    <xf numFmtId="0" fontId="4" fillId="0" borderId="11" xfId="0" applyFont="1" applyFill="1" applyBorder="1"/>
    <xf numFmtId="0" fontId="9" fillId="11" borderId="0" xfId="0" applyFont="1" applyFill="1" applyAlignment="1">
      <alignment horizontal="center"/>
    </xf>
    <xf numFmtId="170" fontId="6" fillId="11" borderId="25" xfId="0" applyNumberFormat="1" applyFont="1" applyFill="1" applyBorder="1" applyAlignment="1">
      <alignment horizontal="center"/>
    </xf>
    <xf numFmtId="9" fontId="4" fillId="0" borderId="2" xfId="1" applyFont="1" applyBorder="1" applyAlignment="1">
      <alignment horizontal="center"/>
    </xf>
    <xf numFmtId="170" fontId="6" fillId="11" borderId="26" xfId="0" applyNumberFormat="1" applyFont="1" applyFill="1" applyBorder="1" applyAlignment="1">
      <alignment horizontal="center"/>
    </xf>
    <xf numFmtId="180" fontId="1" fillId="3" borderId="0" xfId="0" applyNumberFormat="1" applyFont="1" applyFill="1" applyAlignment="1">
      <alignment horizontal="center"/>
    </xf>
    <xf numFmtId="0" fontId="66" fillId="10" borderId="0" xfId="0" applyFont="1" applyFill="1" applyAlignment="1">
      <alignment horizontal="left" vertical="center"/>
    </xf>
    <xf numFmtId="0" fontId="7" fillId="0" borderId="0" xfId="0" applyFont="1"/>
    <xf numFmtId="0" fontId="7" fillId="0" borderId="0" xfId="0" applyFont="1" applyFill="1" applyBorder="1"/>
    <xf numFmtId="205" fontId="84" fillId="0" borderId="0" xfId="0" applyNumberFormat="1" applyFont="1" applyFill="1" applyBorder="1"/>
    <xf numFmtId="0" fontId="84" fillId="0" borderId="0" xfId="0" applyFont="1" applyFill="1" applyBorder="1"/>
    <xf numFmtId="205" fontId="7" fillId="0" borderId="3" xfId="0" applyNumberFormat="1" applyFont="1" applyFill="1" applyBorder="1"/>
    <xf numFmtId="231" fontId="7" fillId="0" borderId="0" xfId="0" applyNumberFormat="1" applyFont="1" applyFill="1" applyBorder="1"/>
    <xf numFmtId="232" fontId="7" fillId="0" borderId="0" xfId="0" applyNumberFormat="1" applyFont="1" applyFill="1" applyBorder="1" applyAlignment="1">
      <alignment horizontal="center"/>
    </xf>
    <xf numFmtId="233" fontId="7" fillId="3" borderId="0" xfId="0" applyNumberFormat="1" applyFont="1" applyFill="1" applyBorder="1"/>
    <xf numFmtId="203" fontId="7" fillId="0" borderId="0" xfId="0" applyNumberFormat="1" applyFont="1" applyFill="1" applyBorder="1" applyAlignment="1">
      <alignment horizontal="left"/>
    </xf>
    <xf numFmtId="205" fontId="7" fillId="0" borderId="0" xfId="0" applyNumberFormat="1" applyFont="1" applyFill="1" applyBorder="1"/>
    <xf numFmtId="169" fontId="7" fillId="0" borderId="0" xfId="0" applyNumberFormat="1" applyFont="1" applyFill="1" applyBorder="1"/>
    <xf numFmtId="169" fontId="7" fillId="3" borderId="0" xfId="0" applyNumberFormat="1" applyFont="1" applyFill="1" applyBorder="1"/>
    <xf numFmtId="234" fontId="7" fillId="0" borderId="0" xfId="0" applyNumberFormat="1" applyFont="1" applyFill="1" applyBorder="1" applyAlignment="1">
      <alignment horizontal="center"/>
    </xf>
    <xf numFmtId="234" fontId="7" fillId="0" borderId="0" xfId="0" applyNumberFormat="1" applyFont="1" applyFill="1" applyBorder="1" applyAlignment="1">
      <alignment horizontal="left"/>
    </xf>
    <xf numFmtId="235" fontId="7" fillId="0" borderId="0" xfId="0" applyNumberFormat="1" applyFont="1" applyFill="1" applyBorder="1"/>
    <xf numFmtId="169" fontId="7" fillId="0" borderId="0" xfId="0" applyNumberFormat="1" applyFont="1" applyFill="1" applyBorder="1" applyAlignment="1">
      <alignment horizontal="center"/>
    </xf>
    <xf numFmtId="236" fontId="7" fillId="0" borderId="0" xfId="0" applyNumberFormat="1" applyFont="1" applyFill="1" applyBorder="1" applyAlignment="1">
      <alignment horizontal="left"/>
    </xf>
    <xf numFmtId="237" fontId="7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center"/>
    </xf>
    <xf numFmtId="237" fontId="7" fillId="0" borderId="0" xfId="0" applyNumberFormat="1" applyFont="1" applyFill="1" applyBorder="1" applyAlignment="1">
      <alignment horizontal="center"/>
    </xf>
    <xf numFmtId="206" fontId="7" fillId="0" borderId="0" xfId="0" applyNumberFormat="1" applyFont="1" applyFill="1" applyBorder="1"/>
    <xf numFmtId="206" fontId="7" fillId="3" borderId="0" xfId="0" applyNumberFormat="1" applyFont="1" applyFill="1" applyBorder="1"/>
    <xf numFmtId="234" fontId="7" fillId="3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168" fontId="7" fillId="0" borderId="0" xfId="0" applyNumberFormat="1" applyFont="1" applyFill="1" applyBorder="1"/>
    <xf numFmtId="205" fontId="7" fillId="0" borderId="0" xfId="0" applyNumberFormat="1" applyFont="1" applyFill="1" applyBorder="1" applyAlignment="1">
      <alignment horizontal="center"/>
    </xf>
    <xf numFmtId="238" fontId="7" fillId="0" borderId="0" xfId="0" applyNumberFormat="1" applyFont="1" applyFill="1" applyBorder="1" applyAlignment="1">
      <alignment horizontal="center"/>
    </xf>
    <xf numFmtId="168" fontId="84" fillId="3" borderId="0" xfId="0" applyNumberFormat="1" applyFont="1" applyFill="1" applyBorder="1"/>
    <xf numFmtId="0" fontId="7" fillId="3" borderId="0" xfId="0" applyFont="1" applyFill="1" applyBorder="1"/>
    <xf numFmtId="0" fontId="7" fillId="0" borderId="0" xfId="0" applyFont="1" applyFill="1" applyBorder="1" applyAlignment="1"/>
    <xf numFmtId="168" fontId="7" fillId="3" borderId="0" xfId="0" applyNumberFormat="1" applyFont="1" applyFill="1" applyBorder="1"/>
    <xf numFmtId="9" fontId="7" fillId="0" borderId="0" xfId="0" applyNumberFormat="1" applyFont="1" applyFill="1" applyBorder="1"/>
    <xf numFmtId="168" fontId="7" fillId="3" borderId="0" xfId="0" applyNumberFormat="1" applyFont="1" applyFill="1" applyBorder="1" applyAlignment="1">
      <alignment horizontal="center"/>
    </xf>
    <xf numFmtId="230" fontId="7" fillId="0" borderId="0" xfId="0" applyNumberFormat="1" applyFont="1" applyFill="1" applyBorder="1"/>
    <xf numFmtId="0" fontId="7" fillId="3" borderId="0" xfId="0" applyFont="1" applyFill="1" applyBorder="1" applyAlignment="1">
      <alignment horizontal="right"/>
    </xf>
    <xf numFmtId="239" fontId="7" fillId="3" borderId="0" xfId="0" applyNumberFormat="1" applyFont="1" applyFill="1" applyBorder="1" applyAlignment="1">
      <alignment horizontal="right"/>
    </xf>
    <xf numFmtId="240" fontId="7" fillId="3" borderId="0" xfId="0" applyNumberFormat="1" applyFont="1" applyFill="1" applyBorder="1" applyAlignment="1">
      <alignment horizontal="right"/>
    </xf>
    <xf numFmtId="241" fontId="7" fillId="0" borderId="0" xfId="0" applyNumberFormat="1" applyFont="1" applyFill="1" applyBorder="1" applyAlignment="1"/>
    <xf numFmtId="203" fontId="7" fillId="3" borderId="0" xfId="0" applyNumberFormat="1" applyFont="1" applyFill="1" applyBorder="1" applyAlignment="1">
      <alignment horizontal="right"/>
    </xf>
    <xf numFmtId="242" fontId="84" fillId="0" borderId="0" xfId="0" applyNumberFormat="1" applyFont="1" applyFill="1" applyBorder="1" applyAlignment="1">
      <alignment horizontal="center"/>
    </xf>
    <xf numFmtId="230" fontId="84" fillId="0" borderId="0" xfId="0" applyNumberFormat="1" applyFont="1" applyFill="1" applyBorder="1" applyAlignment="1">
      <alignment horizontal="center"/>
    </xf>
    <xf numFmtId="0" fontId="84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/>
    </xf>
    <xf numFmtId="242" fontId="84" fillId="0" borderId="0" xfId="0" applyNumberFormat="1" applyFont="1" applyFill="1" applyBorder="1" applyAlignment="1">
      <alignment horizontal="left"/>
    </xf>
    <xf numFmtId="2" fontId="84" fillId="0" borderId="0" xfId="0" applyNumberFormat="1" applyFont="1" applyFill="1" applyBorder="1"/>
    <xf numFmtId="205" fontId="85" fillId="0" borderId="0" xfId="0" applyNumberFormat="1" applyFont="1" applyFill="1" applyBorder="1"/>
    <xf numFmtId="206" fontId="86" fillId="0" borderId="0" xfId="0" applyNumberFormat="1" applyFont="1" applyFill="1" applyBorder="1"/>
    <xf numFmtId="206" fontId="86" fillId="3" borderId="0" xfId="0" applyNumberFormat="1" applyFont="1" applyFill="1" applyBorder="1"/>
    <xf numFmtId="243" fontId="86" fillId="3" borderId="0" xfId="0" applyNumberFormat="1" applyFont="1" applyFill="1" applyBorder="1"/>
    <xf numFmtId="244" fontId="86" fillId="3" borderId="0" xfId="0" applyNumberFormat="1" applyFont="1" applyFill="1" applyBorder="1"/>
    <xf numFmtId="0" fontId="86" fillId="0" borderId="0" xfId="0" applyFont="1" applyFill="1" applyBorder="1"/>
    <xf numFmtId="2" fontId="84" fillId="3" borderId="0" xfId="0" applyNumberFormat="1" applyFont="1" applyFill="1" applyBorder="1"/>
    <xf numFmtId="0" fontId="84" fillId="3" borderId="0" xfId="0" applyFont="1" applyFill="1" applyBorder="1"/>
    <xf numFmtId="243" fontId="7" fillId="3" borderId="0" xfId="0" applyNumberFormat="1" applyFont="1" applyFill="1" applyBorder="1"/>
    <xf numFmtId="244" fontId="7" fillId="3" borderId="0" xfId="0" applyNumberFormat="1" applyFont="1" applyFill="1" applyBorder="1"/>
    <xf numFmtId="245" fontId="7" fillId="3" borderId="0" xfId="0" applyNumberFormat="1" applyFont="1" applyFill="1" applyBorder="1"/>
    <xf numFmtId="240" fontId="7" fillId="3" borderId="0" xfId="0" applyNumberFormat="1" applyFont="1" applyFill="1" applyBorder="1"/>
    <xf numFmtId="0" fontId="87" fillId="0" borderId="0" xfId="0" applyFont="1" applyFill="1" applyBorder="1"/>
    <xf numFmtId="0" fontId="88" fillId="0" borderId="0" xfId="0" applyFont="1" applyFill="1" applyBorder="1"/>
    <xf numFmtId="2" fontId="7" fillId="3" borderId="0" xfId="0" applyNumberFormat="1" applyFont="1" applyFill="1" applyBorder="1" applyAlignment="1">
      <alignment horizontal="center"/>
    </xf>
    <xf numFmtId="0" fontId="85" fillId="0" borderId="0" xfId="0" applyFont="1" applyFill="1" applyBorder="1"/>
    <xf numFmtId="246" fontId="84" fillId="0" borderId="0" xfId="0" applyNumberFormat="1" applyFont="1" applyFill="1" applyBorder="1" applyAlignment="1">
      <alignment horizontal="left"/>
    </xf>
    <xf numFmtId="247" fontId="84" fillId="0" borderId="0" xfId="0" applyNumberFormat="1" applyFont="1" applyFill="1" applyBorder="1" applyAlignment="1">
      <alignment horizontal="center"/>
    </xf>
    <xf numFmtId="248" fontId="84" fillId="0" borderId="0" xfId="0" applyNumberFormat="1" applyFont="1" applyFill="1" applyBorder="1" applyAlignment="1">
      <alignment horizontal="center"/>
    </xf>
    <xf numFmtId="187" fontId="7" fillId="0" borderId="0" xfId="0" applyNumberFormat="1" applyFont="1" applyFill="1" applyBorder="1" applyAlignment="1">
      <alignment horizontal="left"/>
    </xf>
    <xf numFmtId="249" fontId="7" fillId="0" borderId="0" xfId="0" applyNumberFormat="1" applyFont="1" applyFill="1" applyBorder="1" applyAlignment="1">
      <alignment horizontal="left"/>
    </xf>
    <xf numFmtId="206" fontId="7" fillId="0" borderId="0" xfId="0" applyNumberFormat="1" applyFont="1" applyFill="1" applyBorder="1" applyAlignment="1">
      <alignment horizontal="left"/>
    </xf>
    <xf numFmtId="205" fontId="7" fillId="0" borderId="0" xfId="0" applyNumberFormat="1" applyFont="1" applyBorder="1"/>
    <xf numFmtId="169" fontId="7" fillId="0" borderId="0" xfId="0" applyNumberFormat="1" applyFont="1" applyBorder="1"/>
    <xf numFmtId="234" fontId="7" fillId="0" borderId="0" xfId="0" applyNumberFormat="1" applyFont="1" applyBorder="1" applyAlignment="1">
      <alignment horizontal="center"/>
    </xf>
    <xf numFmtId="233" fontId="7" fillId="0" borderId="0" xfId="0" applyNumberFormat="1" applyFont="1" applyBorder="1"/>
    <xf numFmtId="203" fontId="7" fillId="0" borderId="0" xfId="0" applyNumberFormat="1" applyFont="1" applyBorder="1" applyAlignment="1">
      <alignment horizontal="left"/>
    </xf>
    <xf numFmtId="0" fontId="7" fillId="0" borderId="0" xfId="0" applyFont="1" applyBorder="1"/>
    <xf numFmtId="205" fontId="84" fillId="0" borderId="0" xfId="0" applyNumberFormat="1" applyFont="1" applyBorder="1"/>
    <xf numFmtId="0" fontId="84" fillId="0" borderId="0" xfId="0" applyFont="1" applyBorder="1"/>
    <xf numFmtId="205" fontId="7" fillId="0" borderId="3" xfId="0" applyNumberFormat="1" applyFont="1" applyBorder="1"/>
    <xf numFmtId="206" fontId="7" fillId="0" borderId="0" xfId="0" applyNumberFormat="1" applyFont="1" applyBorder="1"/>
    <xf numFmtId="234" fontId="7" fillId="3" borderId="0" xfId="0" applyNumberFormat="1" applyFont="1" applyFill="1" applyBorder="1" applyAlignment="1">
      <alignment horizontal="center"/>
    </xf>
    <xf numFmtId="243" fontId="7" fillId="0" borderId="0" xfId="0" applyNumberFormat="1" applyFont="1" applyBorder="1"/>
    <xf numFmtId="244" fontId="7" fillId="0" borderId="0" xfId="0" applyNumberFormat="1" applyFont="1" applyBorder="1"/>
    <xf numFmtId="205" fontId="84" fillId="0" borderId="16" xfId="0" applyNumberFormat="1" applyFont="1" applyBorder="1"/>
    <xf numFmtId="206" fontId="84" fillId="0" borderId="0" xfId="0" applyNumberFormat="1" applyFont="1" applyBorder="1"/>
    <xf numFmtId="243" fontId="84" fillId="0" borderId="0" xfId="0" applyNumberFormat="1" applyFont="1" applyBorder="1"/>
    <xf numFmtId="244" fontId="84" fillId="0" borderId="0" xfId="0" applyNumberFormat="1" applyFont="1" applyBorder="1"/>
    <xf numFmtId="168" fontId="7" fillId="0" borderId="0" xfId="0" applyNumberFormat="1" applyFont="1" applyBorder="1"/>
    <xf numFmtId="0" fontId="7" fillId="0" borderId="0" xfId="0" applyFont="1" applyBorder="1" applyAlignment="1"/>
    <xf numFmtId="9" fontId="7" fillId="0" borderId="0" xfId="0" applyNumberFormat="1" applyFont="1" applyBorder="1"/>
    <xf numFmtId="168" fontId="7" fillId="0" borderId="0" xfId="0" applyNumberFormat="1" applyFont="1" applyBorder="1" applyAlignment="1">
      <alignment horizontal="center"/>
    </xf>
    <xf numFmtId="230" fontId="7" fillId="3" borderId="0" xfId="0" applyNumberFormat="1" applyFont="1" applyFill="1" applyBorder="1"/>
    <xf numFmtId="238" fontId="7" fillId="3" borderId="0" xfId="0" applyNumberFormat="1" applyFont="1" applyFill="1" applyBorder="1" applyAlignment="1">
      <alignment horizontal="center"/>
    </xf>
    <xf numFmtId="0" fontId="7" fillId="3" borderId="0" xfId="0" applyFont="1" applyFill="1" applyBorder="1" applyAlignment="1"/>
    <xf numFmtId="241" fontId="7" fillId="3" borderId="0" xfId="0" applyNumberFormat="1" applyFont="1" applyFill="1" applyBorder="1" applyAlignment="1"/>
    <xf numFmtId="245" fontId="7" fillId="0" borderId="0" xfId="0" applyNumberFormat="1" applyFont="1" applyBorder="1"/>
    <xf numFmtId="205" fontId="7" fillId="2" borderId="0" xfId="0" applyNumberFormat="1" applyFont="1" applyFill="1" applyBorder="1" applyAlignment="1">
      <alignment horizontal="center"/>
    </xf>
    <xf numFmtId="206" fontId="7" fillId="2" borderId="0" xfId="0" applyNumberFormat="1" applyFont="1" applyFill="1" applyBorder="1" applyAlignment="1">
      <alignment horizontal="center"/>
    </xf>
    <xf numFmtId="0" fontId="84" fillId="2" borderId="0" xfId="0" applyFont="1" applyFill="1" applyBorder="1" applyAlignment="1">
      <alignment horizontal="center"/>
    </xf>
    <xf numFmtId="0" fontId="7" fillId="2" borderId="0" xfId="0" applyFont="1" applyFill="1" applyBorder="1"/>
    <xf numFmtId="245" fontId="84" fillId="0" borderId="0" xfId="0" applyNumberFormat="1" applyFont="1" applyBorder="1"/>
    <xf numFmtId="206" fontId="84" fillId="3" borderId="0" xfId="0" applyNumberFormat="1" applyFont="1" applyFill="1" applyBorder="1"/>
    <xf numFmtId="245" fontId="84" fillId="3" borderId="0" xfId="0" applyNumberFormat="1" applyFont="1" applyFill="1" applyBorder="1"/>
    <xf numFmtId="244" fontId="84" fillId="3" borderId="0" xfId="0" applyNumberFormat="1" applyFont="1" applyFill="1" applyBorder="1"/>
    <xf numFmtId="240" fontId="84" fillId="3" borderId="0" xfId="0" applyNumberFormat="1" applyFont="1" applyFill="1" applyBorder="1"/>
    <xf numFmtId="0" fontId="87" fillId="0" borderId="0" xfId="0" applyFont="1" applyBorder="1"/>
    <xf numFmtId="0" fontId="88" fillId="0" borderId="0" xfId="0" applyFont="1" applyBorder="1"/>
    <xf numFmtId="2" fontId="7" fillId="0" borderId="0" xfId="0" applyNumberFormat="1" applyFont="1" applyBorder="1"/>
    <xf numFmtId="240" fontId="7" fillId="0" borderId="0" xfId="0" applyNumberFormat="1" applyFont="1" applyBorder="1"/>
    <xf numFmtId="0" fontId="85" fillId="0" borderId="0" xfId="0" applyFont="1" applyBorder="1"/>
    <xf numFmtId="247" fontId="84" fillId="2" borderId="0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249" fontId="7" fillId="11" borderId="0" xfId="0" applyNumberFormat="1" applyFont="1" applyFill="1" applyBorder="1" applyAlignment="1">
      <alignment horizontal="left"/>
    </xf>
    <xf numFmtId="248" fontId="84" fillId="11" borderId="0" xfId="0" applyNumberFormat="1" applyFont="1" applyFill="1" applyBorder="1" applyAlignment="1">
      <alignment horizontal="center"/>
    </xf>
    <xf numFmtId="206" fontId="7" fillId="11" borderId="30" xfId="0" applyNumberFormat="1" applyFont="1" applyFill="1" applyBorder="1" applyAlignment="1">
      <alignment horizontal="left"/>
    </xf>
    <xf numFmtId="0" fontId="84" fillId="10" borderId="0" xfId="0" applyFont="1" applyFill="1"/>
    <xf numFmtId="214" fontId="84" fillId="10" borderId="0" xfId="0" applyNumberFormat="1" applyFont="1" applyFill="1" applyAlignment="1">
      <alignment horizontal="center"/>
    </xf>
    <xf numFmtId="0" fontId="7" fillId="10" borderId="0" xfId="0" applyFont="1" applyFill="1"/>
    <xf numFmtId="0" fontId="91" fillId="10" borderId="0" xfId="0" applyFont="1" applyFill="1" applyAlignment="1">
      <alignment horizontal="left" vertical="center"/>
    </xf>
    <xf numFmtId="0" fontId="92" fillId="8" borderId="0" xfId="0" applyFont="1" applyFill="1" applyAlignment="1">
      <alignment horizontal="left" vertical="center"/>
    </xf>
    <xf numFmtId="0" fontId="91" fillId="0" borderId="0" xfId="0" applyFont="1" applyFill="1" applyAlignment="1">
      <alignment horizontal="left" vertical="center"/>
    </xf>
    <xf numFmtId="0" fontId="93" fillId="0" borderId="0" xfId="0" applyFont="1" applyFill="1"/>
    <xf numFmtId="0" fontId="92" fillId="7" borderId="0" xfId="0" applyFont="1" applyFill="1" applyAlignment="1">
      <alignment horizontal="left" vertical="center"/>
    </xf>
    <xf numFmtId="0" fontId="91" fillId="10" borderId="0" xfId="0" applyFont="1" applyFill="1" applyAlignment="1">
      <alignment horizontal="center" vertical="center"/>
    </xf>
    <xf numFmtId="0" fontId="84" fillId="10" borderId="0" xfId="0" applyFont="1" applyFill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244" fontId="7" fillId="0" borderId="0" xfId="0" applyNumberFormat="1" applyFont="1" applyFill="1" applyBorder="1"/>
    <xf numFmtId="240" fontId="84" fillId="0" borderId="0" xfId="0" applyNumberFormat="1" applyFont="1" applyFill="1" applyBorder="1"/>
    <xf numFmtId="240" fontId="7" fillId="0" borderId="0" xfId="0" applyNumberFormat="1" applyFont="1" applyFill="1" applyBorder="1" applyAlignment="1">
      <alignment horizontal="right"/>
    </xf>
    <xf numFmtId="168" fontId="7" fillId="3" borderId="3" xfId="0" applyNumberFormat="1" applyFont="1" applyFill="1" applyBorder="1"/>
    <xf numFmtId="0" fontId="7" fillId="11" borderId="0" xfId="0" applyFont="1" applyFill="1" applyBorder="1" applyAlignment="1">
      <alignment horizontal="left"/>
    </xf>
    <xf numFmtId="240" fontId="7" fillId="0" borderId="0" xfId="0" applyNumberFormat="1" applyFont="1" applyFill="1" applyBorder="1"/>
    <xf numFmtId="0" fontId="8" fillId="0" borderId="0" xfId="0" applyFont="1" applyFill="1"/>
    <xf numFmtId="170" fontId="1" fillId="0" borderId="18" xfId="0" applyNumberFormat="1" applyFont="1" applyFill="1" applyBorder="1" applyAlignment="1">
      <alignment horizontal="center"/>
    </xf>
    <xf numFmtId="170" fontId="4" fillId="0" borderId="0" xfId="0" applyNumberFormat="1" applyFont="1" applyBorder="1" applyAlignment="1">
      <alignment horizontal="center"/>
    </xf>
    <xf numFmtId="0" fontId="95" fillId="11" borderId="0" xfId="0" applyFont="1" applyFill="1"/>
    <xf numFmtId="168" fontId="95" fillId="11" borderId="0" xfId="0" applyNumberFormat="1" applyFont="1" applyFill="1" applyAlignment="1">
      <alignment horizontal="center"/>
    </xf>
    <xf numFmtId="169" fontId="95" fillId="11" borderId="0" xfId="0" applyNumberFormat="1" applyFont="1" applyFill="1" applyAlignment="1">
      <alignment horizontal="center"/>
    </xf>
    <xf numFmtId="170" fontId="96" fillId="11" borderId="0" xfId="0" applyNumberFormat="1" applyFont="1" applyFill="1" applyBorder="1" applyAlignment="1">
      <alignment horizontal="center"/>
    </xf>
    <xf numFmtId="231" fontId="7" fillId="14" borderId="0" xfId="0" applyNumberFormat="1" applyFont="1" applyFill="1" applyBorder="1"/>
    <xf numFmtId="10" fontId="7" fillId="0" borderId="0" xfId="0" applyNumberFormat="1" applyFont="1" applyFill="1" applyBorder="1" applyAlignment="1">
      <alignment horizontal="center"/>
    </xf>
    <xf numFmtId="232" fontId="7" fillId="14" borderId="0" xfId="0" applyNumberFormat="1" applyFont="1" applyFill="1" applyBorder="1" applyAlignment="1">
      <alignment horizontal="center"/>
    </xf>
    <xf numFmtId="206" fontId="7" fillId="14" borderId="0" xfId="0" applyNumberFormat="1" applyFont="1" applyFill="1" applyBorder="1"/>
    <xf numFmtId="0" fontId="97" fillId="15" borderId="0" xfId="0" applyFont="1" applyFill="1"/>
    <xf numFmtId="0" fontId="98" fillId="15" borderId="0" xfId="0" applyFont="1" applyFill="1"/>
    <xf numFmtId="169" fontId="98" fillId="15" borderId="0" xfId="0" applyNumberFormat="1" applyFont="1" applyFill="1" applyAlignment="1">
      <alignment horizontal="center"/>
    </xf>
    <xf numFmtId="1" fontId="97" fillId="15" borderId="0" xfId="0" applyNumberFormat="1" applyFont="1" applyFill="1" applyBorder="1" applyAlignment="1">
      <alignment horizontal="center"/>
    </xf>
    <xf numFmtId="170" fontId="97" fillId="15" borderId="0" xfId="0" applyNumberFormat="1" applyFont="1" applyFill="1" applyBorder="1" applyAlignment="1">
      <alignment horizontal="center"/>
    </xf>
    <xf numFmtId="9" fontId="99" fillId="15" borderId="0" xfId="1" applyFont="1" applyFill="1" applyAlignment="1">
      <alignment horizontal="center"/>
    </xf>
    <xf numFmtId="3" fontId="4" fillId="3" borderId="0" xfId="0" applyNumberFormat="1" applyFont="1" applyFill="1" applyAlignment="1">
      <alignment horizontal="center"/>
    </xf>
    <xf numFmtId="180" fontId="1" fillId="3" borderId="0" xfId="0" applyNumberFormat="1" applyFont="1" applyFill="1" applyAlignment="1" applyProtection="1">
      <alignment horizontal="center" vertical="center"/>
      <protection locked="0"/>
    </xf>
    <xf numFmtId="9" fontId="1" fillId="3" borderId="0" xfId="1" applyFont="1" applyFill="1" applyAlignment="1" applyProtection="1">
      <alignment horizontal="center" vertical="center"/>
      <protection locked="0"/>
    </xf>
    <xf numFmtId="9" fontId="4" fillId="3" borderId="0" xfId="1" applyFont="1" applyFill="1" applyAlignment="1" applyProtection="1">
      <alignment horizontal="center" vertical="center"/>
      <protection locked="0"/>
    </xf>
    <xf numFmtId="9" fontId="4" fillId="3" borderId="0" xfId="1" applyFont="1" applyFill="1" applyAlignment="1" applyProtection="1">
      <alignment horizontal="center" vertical="center"/>
    </xf>
    <xf numFmtId="180" fontId="4" fillId="3" borderId="0" xfId="0" applyNumberFormat="1" applyFont="1" applyFill="1" applyAlignment="1" applyProtection="1">
      <alignment horizontal="center" vertical="center"/>
      <protection locked="0"/>
    </xf>
    <xf numFmtId="181" fontId="1" fillId="3" borderId="0" xfId="0" applyNumberFormat="1" applyFont="1" applyFill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213" fontId="1" fillId="3" borderId="0" xfId="0" applyNumberFormat="1" applyFont="1" applyFill="1" applyAlignment="1" applyProtection="1">
      <alignment horizontal="center" vertical="center"/>
      <protection locked="0"/>
    </xf>
    <xf numFmtId="169" fontId="1" fillId="3" borderId="0" xfId="0" applyNumberFormat="1" applyFont="1" applyFill="1" applyAlignment="1" applyProtection="1">
      <alignment horizontal="center" vertical="center"/>
      <protection locked="0"/>
    </xf>
    <xf numFmtId="190" fontId="4" fillId="3" borderId="0" xfId="1" applyNumberFormat="1" applyFont="1" applyFill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>
      <alignment horizontal="center"/>
    </xf>
    <xf numFmtId="1" fontId="1" fillId="14" borderId="0" xfId="0" applyNumberFormat="1" applyFont="1" applyFill="1" applyAlignment="1">
      <alignment horizontal="center"/>
    </xf>
    <xf numFmtId="170" fontId="6" fillId="11" borderId="3" xfId="0" applyNumberFormat="1" applyFont="1" applyFill="1" applyBorder="1" applyAlignment="1">
      <alignment horizontal="center"/>
    </xf>
    <xf numFmtId="0" fontId="10" fillId="11" borderId="0" xfId="0" applyFont="1" applyFill="1"/>
    <xf numFmtId="168" fontId="10" fillId="11" borderId="0" xfId="0" applyNumberFormat="1" applyFont="1" applyFill="1" applyAlignment="1">
      <alignment horizontal="center"/>
    </xf>
    <xf numFmtId="169" fontId="10" fillId="11" borderId="0" xfId="0" applyNumberFormat="1" applyFont="1" applyFill="1" applyAlignment="1">
      <alignment horizontal="center"/>
    </xf>
    <xf numFmtId="170" fontId="100" fillId="11" borderId="0" xfId="0" applyNumberFormat="1" applyFont="1" applyFill="1" applyBorder="1" applyAlignment="1">
      <alignment horizontal="center"/>
    </xf>
    <xf numFmtId="170" fontId="8" fillId="11" borderId="0" xfId="0" applyNumberFormat="1" applyFont="1" applyFill="1" applyBorder="1" applyAlignment="1">
      <alignment horizontal="center"/>
    </xf>
    <xf numFmtId="180" fontId="1" fillId="14" borderId="0" xfId="0" applyNumberFormat="1" applyFont="1" applyFill="1" applyAlignment="1">
      <alignment horizontal="center"/>
    </xf>
    <xf numFmtId="181" fontId="0" fillId="14" borderId="0" xfId="0" applyNumberFormat="1" applyFill="1" applyAlignment="1">
      <alignment horizontal="center"/>
    </xf>
    <xf numFmtId="183" fontId="0" fillId="14" borderId="0" xfId="0" applyNumberFormat="1" applyFill="1" applyAlignment="1">
      <alignment horizontal="center"/>
    </xf>
    <xf numFmtId="211" fontId="0" fillId="0" borderId="0" xfId="0" applyNumberFormat="1" applyFill="1" applyAlignment="1">
      <alignment horizontal="center"/>
    </xf>
    <xf numFmtId="169" fontId="0" fillId="16" borderId="0" xfId="0" applyNumberFormat="1" applyFill="1" applyAlignment="1">
      <alignment horizontal="center"/>
    </xf>
    <xf numFmtId="0" fontId="0" fillId="16" borderId="0" xfId="0" applyFill="1" applyAlignment="1">
      <alignment horizontal="center"/>
    </xf>
    <xf numFmtId="195" fontId="0" fillId="0" borderId="3" xfId="0" applyNumberFormat="1" applyFill="1" applyBorder="1" applyAlignment="1">
      <alignment horizontal="center"/>
    </xf>
    <xf numFmtId="195" fontId="1" fillId="0" borderId="0" xfId="0" applyNumberFormat="1" applyFont="1" applyAlignment="1">
      <alignment horizontal="center"/>
    </xf>
    <xf numFmtId="9" fontId="1" fillId="0" borderId="0" xfId="1" applyFont="1" applyAlignment="1">
      <alignment horizontal="center"/>
    </xf>
    <xf numFmtId="49" fontId="1" fillId="0" borderId="0" xfId="0" applyNumberFormat="1" applyFont="1" applyAlignment="1">
      <alignment vertical="top" wrapText="1"/>
    </xf>
    <xf numFmtId="49" fontId="0" fillId="0" borderId="0" xfId="0" applyNumberFormat="1" applyAlignment="1">
      <alignment vertical="top" wrapText="1"/>
    </xf>
    <xf numFmtId="9" fontId="0" fillId="2" borderId="0" xfId="1" applyFont="1" applyFill="1" applyBorder="1" applyAlignment="1">
      <alignment horizontal="center"/>
    </xf>
    <xf numFmtId="212" fontId="4" fillId="16" borderId="0" xfId="0" applyNumberFormat="1" applyFont="1" applyFill="1" applyAlignment="1">
      <alignment horizontal="center"/>
    </xf>
    <xf numFmtId="195" fontId="4" fillId="0" borderId="0" xfId="0" applyNumberFormat="1" applyFont="1" applyAlignment="1">
      <alignment horizontal="center"/>
    </xf>
    <xf numFmtId="0" fontId="14" fillId="0" borderId="0" xfId="0" applyFont="1" applyFill="1"/>
    <xf numFmtId="195" fontId="14" fillId="0" borderId="0" xfId="0" applyNumberFormat="1" applyFont="1" applyFill="1" applyBorder="1" applyAlignment="1">
      <alignment horizontal="center"/>
    </xf>
    <xf numFmtId="3" fontId="72" fillId="0" borderId="0" xfId="0" applyNumberFormat="1" applyFont="1" applyFill="1"/>
    <xf numFmtId="0" fontId="8" fillId="11" borderId="0" xfId="0" applyFont="1" applyFill="1" applyBorder="1"/>
    <xf numFmtId="180" fontId="6" fillId="11" borderId="0" xfId="0" applyNumberFormat="1" applyFont="1" applyFill="1" applyBorder="1" applyAlignment="1">
      <alignment horizontal="center"/>
    </xf>
    <xf numFmtId="230" fontId="0" fillId="0" borderId="0" xfId="0" applyNumberFormat="1" applyBorder="1" applyAlignment="1">
      <alignment horizontal="center"/>
    </xf>
    <xf numFmtId="195" fontId="0" fillId="3" borderId="0" xfId="0" applyNumberFormat="1" applyFill="1" applyBorder="1" applyAlignment="1">
      <alignment horizontal="center"/>
    </xf>
    <xf numFmtId="0" fontId="84" fillId="11" borderId="0" xfId="0" applyFont="1" applyFill="1" applyBorder="1" applyAlignment="1">
      <alignment horizontal="left"/>
    </xf>
    <xf numFmtId="0" fontId="15" fillId="0" borderId="0" xfId="0" applyFont="1" applyFill="1" applyBorder="1"/>
    <xf numFmtId="169" fontId="13" fillId="0" borderId="0" xfId="0" applyNumberFormat="1" applyFont="1" applyFill="1" applyAlignment="1">
      <alignment horizontal="left"/>
    </xf>
    <xf numFmtId="0" fontId="13" fillId="14" borderId="0" xfId="0" applyFont="1" applyFill="1"/>
    <xf numFmtId="0" fontId="4" fillId="14" borderId="0" xfId="0" applyFont="1" applyFill="1"/>
    <xf numFmtId="168" fontId="13" fillId="14" borderId="0" xfId="0" applyNumberFormat="1" applyFont="1" applyFill="1" applyAlignment="1">
      <alignment horizontal="center"/>
    </xf>
    <xf numFmtId="1" fontId="13" fillId="14" borderId="0" xfId="0" applyNumberFormat="1" applyFont="1" applyFill="1" applyAlignment="1">
      <alignment horizontal="center"/>
    </xf>
    <xf numFmtId="0" fontId="1" fillId="16" borderId="0" xfId="0" applyFont="1" applyFill="1" applyBorder="1" applyAlignment="1">
      <alignment horizontal="center"/>
    </xf>
    <xf numFmtId="0" fontId="43" fillId="10" borderId="0" xfId="0" applyFont="1" applyFill="1" applyAlignment="1">
      <alignment horizontal="center" vertical="center"/>
    </xf>
    <xf numFmtId="2" fontId="0" fillId="14" borderId="0" xfId="0" applyNumberFormat="1" applyFill="1" applyAlignment="1">
      <alignment horizontal="center"/>
    </xf>
    <xf numFmtId="182" fontId="0" fillId="14" borderId="0" xfId="0" applyNumberFormat="1" applyFill="1" applyBorder="1" applyAlignment="1">
      <alignment horizontal="center"/>
    </xf>
    <xf numFmtId="206" fontId="7" fillId="11" borderId="0" xfId="0" applyNumberFormat="1" applyFont="1" applyFill="1" applyBorder="1" applyAlignment="1">
      <alignment horizontal="left"/>
    </xf>
    <xf numFmtId="0" fontId="7" fillId="0" borderId="0" xfId="0" applyFont="1" applyFill="1" applyAlignment="1">
      <alignment horizontal="center"/>
    </xf>
    <xf numFmtId="190" fontId="84" fillId="0" borderId="0" xfId="0" applyNumberFormat="1" applyFont="1" applyBorder="1"/>
    <xf numFmtId="184" fontId="84" fillId="0" borderId="0" xfId="0" applyNumberFormat="1" applyFont="1" applyBorder="1"/>
    <xf numFmtId="9" fontId="0" fillId="14" borderId="0" xfId="0" applyNumberFormat="1" applyFill="1"/>
    <xf numFmtId="0" fontId="72" fillId="0" borderId="0" xfId="0" applyFont="1" applyFill="1" applyBorder="1"/>
    <xf numFmtId="9" fontId="72" fillId="14" borderId="0" xfId="0" applyNumberFormat="1" applyFont="1" applyFill="1"/>
    <xf numFmtId="0" fontId="35" fillId="0" borderId="0" xfId="0" applyFont="1"/>
    <xf numFmtId="9" fontId="7" fillId="14" borderId="0" xfId="0" applyNumberFormat="1" applyFont="1" applyFill="1" applyAlignment="1">
      <alignment horizontal="center"/>
    </xf>
    <xf numFmtId="0" fontId="9" fillId="0" borderId="0" xfId="0" applyFont="1" applyFill="1" applyBorder="1" applyAlignment="1">
      <alignment horizontal="left" vertical="center" wrapText="1" indent="1"/>
    </xf>
    <xf numFmtId="0" fontId="6" fillId="0" borderId="0" xfId="0" applyFont="1" applyFill="1" applyBorder="1" applyAlignment="1">
      <alignment horizontal="left" vertical="center" wrapText="1" indent="1"/>
    </xf>
    <xf numFmtId="49" fontId="4" fillId="10" borderId="0" xfId="0" applyNumberFormat="1" applyFont="1" applyFill="1" applyAlignment="1">
      <alignment horizontal="left" vertical="center" wrapText="1"/>
    </xf>
    <xf numFmtId="0" fontId="13" fillId="0" borderId="0" xfId="0" applyFont="1" applyFill="1" applyAlignment="1">
      <alignment horizontal="left" vertical="center" indent="1"/>
    </xf>
    <xf numFmtId="0" fontId="43" fillId="11" borderId="0" xfId="0" applyFont="1" applyFill="1" applyBorder="1" applyAlignment="1">
      <alignment horizontal="center" vertical="center" wrapText="1"/>
    </xf>
    <xf numFmtId="0" fontId="13" fillId="11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11" borderId="0" xfId="0" applyFont="1" applyFill="1" applyAlignment="1">
      <alignment wrapText="1" shrinkToFit="1"/>
    </xf>
    <xf numFmtId="0" fontId="0" fillId="0" borderId="0" xfId="0" applyAlignment="1">
      <alignment wrapText="1" shrinkToFit="1"/>
    </xf>
    <xf numFmtId="0" fontId="42" fillId="10" borderId="0" xfId="0" applyFont="1" applyFill="1" applyAlignment="1">
      <alignment horizontal="left" wrapText="1"/>
    </xf>
    <xf numFmtId="0" fontId="0" fillId="10" borderId="0" xfId="0" applyFill="1" applyAlignment="1">
      <alignment wrapText="1"/>
    </xf>
    <xf numFmtId="0" fontId="31" fillId="8" borderId="0" xfId="0" applyFont="1" applyFill="1" applyBorder="1" applyAlignment="1"/>
    <xf numFmtId="0" fontId="5" fillId="8" borderId="0" xfId="0" applyFont="1" applyFill="1" applyAlignment="1"/>
    <xf numFmtId="0" fontId="17" fillId="8" borderId="0" xfId="0" applyFont="1" applyFill="1" applyAlignment="1">
      <alignment horizontal="left" vertical="center" wrapText="1"/>
    </xf>
    <xf numFmtId="0" fontId="6" fillId="8" borderId="0" xfId="0" applyFont="1" applyFill="1" applyAlignment="1">
      <alignment vertical="center" wrapText="1"/>
    </xf>
    <xf numFmtId="0" fontId="0" fillId="0" borderId="0" xfId="0" applyAlignment="1"/>
    <xf numFmtId="0" fontId="9" fillId="10" borderId="0" xfId="0" applyFont="1" applyFill="1" applyBorder="1" applyAlignment="1">
      <alignment horizontal="left" vertical="center" wrapText="1"/>
    </xf>
    <xf numFmtId="0" fontId="9" fillId="10" borderId="0" xfId="0" applyFont="1" applyFill="1" applyAlignment="1">
      <alignment vertical="center" wrapText="1"/>
    </xf>
    <xf numFmtId="0" fontId="42" fillId="3" borderId="0" xfId="0" applyFont="1" applyFill="1" applyAlignment="1">
      <alignment horizontal="center" wrapText="1"/>
    </xf>
    <xf numFmtId="0" fontId="84" fillId="11" borderId="0" xfId="0" applyFont="1" applyFill="1" applyBorder="1" applyAlignment="1">
      <alignment horizontal="left"/>
    </xf>
    <xf numFmtId="0" fontId="4" fillId="11" borderId="0" xfId="0" applyFont="1" applyFill="1" applyAlignment="1">
      <alignment horizontal="right" wrapText="1"/>
    </xf>
    <xf numFmtId="0" fontId="0" fillId="0" borderId="0" xfId="0" applyAlignment="1">
      <alignment horizontal="right"/>
    </xf>
    <xf numFmtId="0" fontId="37" fillId="10" borderId="0" xfId="0" applyFont="1" applyFill="1" applyAlignment="1">
      <alignment horizontal="left" vertical="center" wrapText="1"/>
    </xf>
    <xf numFmtId="0" fontId="4" fillId="11" borderId="0" xfId="0" applyFont="1" applyFill="1" applyBorder="1" applyAlignment="1">
      <alignment wrapText="1" shrinkToFit="1"/>
    </xf>
    <xf numFmtId="194" fontId="82" fillId="10" borderId="0" xfId="0" applyNumberFormat="1" applyFont="1" applyFill="1" applyAlignment="1">
      <alignment horizontal="left" wrapText="1"/>
    </xf>
    <xf numFmtId="0" fontId="83" fillId="10" borderId="0" xfId="0" applyFont="1" applyFill="1" applyAlignment="1">
      <alignment wrapText="1"/>
    </xf>
    <xf numFmtId="0" fontId="13" fillId="0" borderId="0" xfId="0" applyFont="1" applyFill="1" applyBorder="1" applyAlignment="1">
      <alignment wrapText="1"/>
    </xf>
    <xf numFmtId="0" fontId="37" fillId="10" borderId="0" xfId="0" applyFont="1" applyFill="1" applyAlignment="1">
      <alignment vertical="center" wrapText="1"/>
    </xf>
    <xf numFmtId="0" fontId="31" fillId="7" borderId="0" xfId="0" applyFont="1" applyFill="1" applyBorder="1" applyAlignment="1"/>
    <xf numFmtId="0" fontId="55" fillId="7" borderId="0" xfId="0" applyFont="1" applyFill="1" applyAlignment="1"/>
    <xf numFmtId="0" fontId="23" fillId="7" borderId="0" xfId="0" applyFont="1" applyFill="1" applyAlignment="1">
      <alignment horizontal="left" vertical="center" wrapText="1"/>
    </xf>
    <xf numFmtId="0" fontId="6" fillId="7" borderId="0" xfId="0" applyFont="1" applyFill="1" applyAlignment="1">
      <alignment vertical="center" wrapText="1"/>
    </xf>
    <xf numFmtId="0" fontId="17" fillId="7" borderId="0" xfId="0" applyFont="1" applyFill="1" applyAlignment="1">
      <alignment horizontal="left" vertical="center" wrapText="1"/>
    </xf>
    <xf numFmtId="0" fontId="7" fillId="10" borderId="0" xfId="0" applyFont="1" applyFill="1" applyBorder="1" applyAlignment="1">
      <alignment horizontal="left" vertical="center" wrapText="1"/>
    </xf>
    <xf numFmtId="0" fontId="7" fillId="11" borderId="0" xfId="0" applyFont="1" applyFill="1" applyBorder="1" applyAlignment="1">
      <alignment horizontal="left"/>
    </xf>
    <xf numFmtId="0" fontId="12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0" xfId="0" applyAlignment="1">
      <alignment vertical="center" wrapText="1"/>
    </xf>
    <xf numFmtId="0" fontId="66" fillId="10" borderId="0" xfId="0" applyFont="1" applyFill="1" applyAlignment="1">
      <alignment horizontal="left" vertical="center"/>
    </xf>
    <xf numFmtId="194" fontId="82" fillId="10" borderId="0" xfId="0" applyNumberFormat="1" applyFont="1" applyFill="1" applyBorder="1" applyAlignment="1">
      <alignment horizontal="left" wrapText="1"/>
    </xf>
    <xf numFmtId="0" fontId="83" fillId="1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66FF6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8000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microsoft.com/office/2006/relationships/attachedToolbars" Target="attachedToolbars.bin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424242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Anteil Arbeit-, Kapital- und Sachkosten</a:t>
            </a:r>
          </a:p>
        </c:rich>
      </c:tx>
      <c:layout>
        <c:manualLayout>
          <c:xMode val="edge"/>
          <c:yMode val="edge"/>
          <c:x val="0.31060407221824543"/>
          <c:y val="3.71604385572204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93716868587575"/>
          <c:y val="0.21958469373279685"/>
          <c:w val="0.68612934975800877"/>
          <c:h val="0.5675419776478440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'Standard Ertragsphase'!$B$86</c:f>
              <c:strCache>
                <c:ptCount val="1"/>
                <c:pt idx="0">
                  <c:v>Standard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'Variante Ertragsphase'!$A$88:$A$90</c:f>
              <c:strCache>
                <c:ptCount val="3"/>
                <c:pt idx="0">
                  <c:v>Arbeitskosten</c:v>
                </c:pt>
                <c:pt idx="1">
                  <c:v>Kapitalkosten (Zinsanspruch)</c:v>
                </c:pt>
                <c:pt idx="2">
                  <c:v>Sachkosten</c:v>
                </c:pt>
              </c:strCache>
            </c:strRef>
          </c:cat>
          <c:val>
            <c:numRef>
              <c:f>'Standard Ertragsphase'!$B$87:$B$89</c:f>
              <c:numCache>
                <c:formatCode>\ #,##0\ "Fr."</c:formatCode>
                <c:ptCount val="3"/>
                <c:pt idx="0">
                  <c:v>15896.967999999999</c:v>
                </c:pt>
                <c:pt idx="1">
                  <c:v>1867.2206287523857</c:v>
                </c:pt>
                <c:pt idx="2">
                  <c:v>21367.958361128778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8E-454B-975B-905CBBA5DE2F}"/>
            </c:ext>
          </c:extLst>
        </c:ser>
        <c:ser>
          <c:idx val="1"/>
          <c:order val="1"/>
          <c:tx>
            <c:strRef>
              <c:f>'Variante Ertragsphase'!$B$87</c:f>
              <c:strCache>
                <c:ptCount val="1"/>
                <c:pt idx="0">
                  <c:v>Variante</c:v>
                </c:pt>
              </c:strCache>
            </c:strRef>
          </c:tx>
          <c:spPr>
            <a:solidFill>
              <a:srgbClr val="3399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'Variante Ertragsphase'!$A$88:$A$90</c:f>
              <c:strCache>
                <c:ptCount val="3"/>
                <c:pt idx="0">
                  <c:v>Arbeitskosten</c:v>
                </c:pt>
                <c:pt idx="1">
                  <c:v>Kapitalkosten (Zinsanspruch)</c:v>
                </c:pt>
                <c:pt idx="2">
                  <c:v>Sachkosten</c:v>
                </c:pt>
              </c:strCache>
            </c:strRef>
          </c:cat>
          <c:val>
            <c:numRef>
              <c:f>'Variante Ertragsphase'!$B$88:$B$90</c:f>
              <c:numCache>
                <c:formatCode>\ #,##0\ "Fr."</c:formatCode>
                <c:ptCount val="3"/>
                <c:pt idx="0">
                  <c:v>15896.967999999999</c:v>
                </c:pt>
                <c:pt idx="1">
                  <c:v>1867.2261517261365</c:v>
                </c:pt>
                <c:pt idx="2">
                  <c:v>21368.204360169933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8E-454B-975B-905CBBA5D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49259328"/>
        <c:axId val="1"/>
      </c:barChart>
      <c:catAx>
        <c:axId val="6492593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424242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 #,##0\ &quot;Fr.&quot;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424242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49259328"/>
        <c:crosses val="max"/>
        <c:crossBetween val="between"/>
        <c:minorUnit val="10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349178568937967"/>
          <c:y val="0.32213006315880177"/>
          <c:w val="0.1376599654337709"/>
          <c:h val="0.288516491350926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424242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424242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200" verticalDpi="2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424242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Anteil der Erntekosten</a:t>
            </a:r>
          </a:p>
        </c:rich>
      </c:tx>
      <c:layout>
        <c:manualLayout>
          <c:xMode val="edge"/>
          <c:yMode val="edge"/>
          <c:x val="0.3888695091090566"/>
          <c:y val="3.19776027996500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56394281999965"/>
          <c:y val="0.13476346520285284"/>
          <c:w val="0.60390651270928064"/>
          <c:h val="0.7423411218801216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'Standard Ertragsphase'!$B$163</c:f>
              <c:strCache>
                <c:ptCount val="1"/>
                <c:pt idx="0">
                  <c:v>Standard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'Standard Ertragsphase'!$A$160:$A$161</c:f>
              <c:strCache>
                <c:ptCount val="2"/>
                <c:pt idx="0">
                  <c:v>Total Ernte</c:v>
                </c:pt>
                <c:pt idx="1">
                  <c:v>übrige Produktionskosten</c:v>
                </c:pt>
              </c:strCache>
            </c:strRef>
          </c:cat>
          <c:val>
            <c:numRef>
              <c:f>'Standard Ertragsphase'!$B$160:$B$161</c:f>
              <c:numCache>
                <c:formatCode>\ #,##0\ "Fr."</c:formatCode>
                <c:ptCount val="2"/>
                <c:pt idx="0">
                  <c:v>5359.0346666666655</c:v>
                </c:pt>
                <c:pt idx="1">
                  <c:v>33773.112323214496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27-4718-978F-55B55ADCD7DB}"/>
            </c:ext>
          </c:extLst>
        </c:ser>
        <c:ser>
          <c:idx val="1"/>
          <c:order val="1"/>
          <c:tx>
            <c:strRef>
              <c:f>'Variante Ertragsphase'!$B$164</c:f>
              <c:strCache>
                <c:ptCount val="1"/>
                <c:pt idx="0">
                  <c:v>Variante</c:v>
                </c:pt>
              </c:strCache>
            </c:strRef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'Standard Ertragsphase'!$A$160:$A$161</c:f>
              <c:strCache>
                <c:ptCount val="2"/>
                <c:pt idx="0">
                  <c:v>Total Ernte</c:v>
                </c:pt>
                <c:pt idx="1">
                  <c:v>übrige Produktionskosten</c:v>
                </c:pt>
              </c:strCache>
            </c:strRef>
          </c:cat>
          <c:val>
            <c:numRef>
              <c:f>'Variante Ertragsphase'!$B$161:$B$162</c:f>
              <c:numCache>
                <c:formatCode>\ #,##0\ "Fr."</c:formatCode>
                <c:ptCount val="2"/>
                <c:pt idx="0">
                  <c:v>778.68068175207952</c:v>
                </c:pt>
                <c:pt idx="1">
                  <c:v>38353.717830143993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27-4718-978F-55B55ADCD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8174712"/>
        <c:axId val="1"/>
      </c:barChart>
      <c:catAx>
        <c:axId val="648174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424242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 #,##0\ &quot;Fr.&quot;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424242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48174712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354581673306785"/>
          <c:y val="0.42049551584835904"/>
          <c:w val="0.12948207171314741"/>
          <c:h val="0.199647030633884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424242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424242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-4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424242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Gliederung der Erntekosten</a:t>
            </a:r>
          </a:p>
        </c:rich>
      </c:tx>
      <c:layout>
        <c:manualLayout>
          <c:xMode val="edge"/>
          <c:yMode val="edge"/>
          <c:x val="0.36172633197920323"/>
          <c:y val="3.09235704511295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55446653545813"/>
          <c:y val="0.11485893660357456"/>
          <c:w val="0.70677733723799441"/>
          <c:h val="0.74216543651540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'Standard Ertragsphase'!$B$163</c:f>
              <c:strCache>
                <c:ptCount val="1"/>
                <c:pt idx="0">
                  <c:v>Standard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'Standard Ertragsphase'!$A$164:$A$165</c:f>
              <c:strCache>
                <c:ptCount val="2"/>
                <c:pt idx="0">
                  <c:v>Maschinen</c:v>
                </c:pt>
                <c:pt idx="1">
                  <c:v>Arbeit</c:v>
                </c:pt>
              </c:strCache>
            </c:strRef>
          </c:cat>
          <c:val>
            <c:numRef>
              <c:f>'Standard Ertragsphase'!$B$164:$B$165</c:f>
              <c:numCache>
                <c:formatCode>\ #,##0\ "Fr."</c:formatCode>
                <c:ptCount val="2"/>
                <c:pt idx="0">
                  <c:v>315.06666666666661</c:v>
                </c:pt>
                <c:pt idx="1">
                  <c:v>5043.9679999999989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C8-4AB4-A17A-119F32D076AB}"/>
            </c:ext>
          </c:extLst>
        </c:ser>
        <c:ser>
          <c:idx val="1"/>
          <c:order val="1"/>
          <c:tx>
            <c:strRef>
              <c:f>'Variante Ertragsphase'!$B$164</c:f>
              <c:strCache>
                <c:ptCount val="1"/>
                <c:pt idx="0">
                  <c:v>Variante</c:v>
                </c:pt>
              </c:strCache>
            </c:strRef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'Standard Ertragsphase'!$A$164:$A$165</c:f>
              <c:strCache>
                <c:ptCount val="2"/>
                <c:pt idx="0">
                  <c:v>Maschinen</c:v>
                </c:pt>
                <c:pt idx="1">
                  <c:v>Arbeit</c:v>
                </c:pt>
              </c:strCache>
            </c:strRef>
          </c:cat>
          <c:val>
            <c:numRef>
              <c:f>'Variante Ertragsphase'!$B$165:$B$166</c:f>
              <c:numCache>
                <c:formatCode>\ #,##0\ "Fr."</c:formatCode>
                <c:ptCount val="2"/>
                <c:pt idx="0">
                  <c:v>315.0806817520795</c:v>
                </c:pt>
                <c:pt idx="1">
                  <c:v>463.6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C8-4AB4-A17A-119F32D07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8172088"/>
        <c:axId val="1"/>
      </c:barChart>
      <c:catAx>
        <c:axId val="6481720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424242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 #,##0\ &quot;Fr.&quot;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424242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48172088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218336528801353"/>
          <c:y val="0.38135687903091658"/>
          <c:w val="0.13690489453986715"/>
          <c:h val="0.205085254945515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424242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424242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424242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Gliederung nach Direkt- und Strukturkosten</a:t>
            </a:r>
          </a:p>
        </c:rich>
      </c:tx>
      <c:layout>
        <c:manualLayout>
          <c:xMode val="edge"/>
          <c:yMode val="edge"/>
          <c:x val="0.28495426000593638"/>
          <c:y val="3.20872198667474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317371579813656"/>
          <c:y val="0.13751665380618858"/>
          <c:w val="0.6363554117451069"/>
          <c:h val="0.7380060420932120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'Standard Ertragsphase'!$B$123</c:f>
              <c:strCache>
                <c:ptCount val="1"/>
                <c:pt idx="0">
                  <c:v>Standard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'Variante Ertragsphase'!$A$125:$A$126</c:f>
              <c:strCache>
                <c:ptCount val="2"/>
                <c:pt idx="0">
                  <c:v>Total Direktkosten</c:v>
                </c:pt>
                <c:pt idx="1">
                  <c:v>Total Strukturkosten</c:v>
                </c:pt>
              </c:strCache>
            </c:strRef>
          </c:cat>
          <c:val>
            <c:numRef>
              <c:f>'Standard Ertragsphase'!$B$124:$B$125</c:f>
              <c:numCache>
                <c:formatCode>\ #,##0\ "Fr."</c:formatCode>
                <c:ptCount val="2"/>
                <c:pt idx="0">
                  <c:v>16347.175027795449</c:v>
                </c:pt>
                <c:pt idx="1">
                  <c:v>22784.971962085718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72-40B5-9954-BD0ACB59DBD3}"/>
            </c:ext>
          </c:extLst>
        </c:ser>
        <c:ser>
          <c:idx val="1"/>
          <c:order val="1"/>
          <c:tx>
            <c:strRef>
              <c:f>'Variante Ertragsphase'!$B$124</c:f>
              <c:strCache>
                <c:ptCount val="1"/>
                <c:pt idx="0">
                  <c:v>Variante</c:v>
                </c:pt>
              </c:strCache>
            </c:strRef>
          </c:tx>
          <c:spPr>
            <a:solidFill>
              <a:srgbClr val="3399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'Variante Ertragsphase'!$A$125:$A$126</c:f>
              <c:strCache>
                <c:ptCount val="2"/>
                <c:pt idx="0">
                  <c:v>Total Direktkosten</c:v>
                </c:pt>
                <c:pt idx="1">
                  <c:v>Total Strukturkosten</c:v>
                </c:pt>
              </c:strCache>
            </c:strRef>
          </c:cat>
          <c:val>
            <c:numRef>
              <c:f>'Variante Ertragsphase'!$B$125:$B$126</c:f>
              <c:numCache>
                <c:formatCode>\ #,##0\ "Fr."</c:formatCode>
                <c:ptCount val="2"/>
                <c:pt idx="0">
                  <c:v>16347.215938712123</c:v>
                </c:pt>
                <c:pt idx="1">
                  <c:v>22785.182573183949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72-40B5-9954-BD0ACB59D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8173072"/>
        <c:axId val="1"/>
      </c:barChart>
      <c:catAx>
        <c:axId val="6481730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424242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 #,##0\ &quot;Fr.&quot;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424242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48173072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262260842602933"/>
          <c:y val="0.36020681237951285"/>
          <c:w val="0.13649874705660328"/>
          <c:h val="0.185249217795178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424242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8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424242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50079744816586"/>
          <c:y val="0.15177889046888968"/>
          <c:w val="0.74800637958532701"/>
          <c:h val="0.74466518136298998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'Variante Cashflow'!$B$25:$B$45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'Variante Cashflow'!$C$25:$C$45</c:f>
              <c:numCache>
                <c:formatCode>\ #,##0\ "Fr."</c:formatCode>
                <c:ptCount val="21"/>
                <c:pt idx="0">
                  <c:v>-84975.419771157554</c:v>
                </c:pt>
                <c:pt idx="1">
                  <c:v>-94029.292186842751</c:v>
                </c:pt>
                <c:pt idx="2">
                  <c:v>-102751.90307027666</c:v>
                </c:pt>
                <c:pt idx="3">
                  <c:v>-115628.17883305543</c:v>
                </c:pt>
                <c:pt idx="4">
                  <c:v>-126133.53194756471</c:v>
                </c:pt>
                <c:pt idx="5">
                  <c:v>-134136.23908068184</c:v>
                </c:pt>
                <c:pt idx="6">
                  <c:v>-134430.2216538658</c:v>
                </c:pt>
                <c:pt idx="7">
                  <c:v>-134726.8500702084</c:v>
                </c:pt>
                <c:pt idx="8">
                  <c:v>-135026.1481422981</c:v>
                </c:pt>
                <c:pt idx="9">
                  <c:v>-135328.1398970366</c:v>
                </c:pt>
                <c:pt idx="10">
                  <c:v>-135632.84957756774</c:v>
                </c:pt>
                <c:pt idx="11">
                  <c:v>-135940.30164522366</c:v>
                </c:pt>
                <c:pt idx="12">
                  <c:v>-136250.52078148848</c:v>
                </c:pt>
                <c:pt idx="13">
                  <c:v>-136563.5318899797</c:v>
                </c:pt>
                <c:pt idx="14">
                  <c:v>-136879.36009844733</c:v>
                </c:pt>
                <c:pt idx="15">
                  <c:v>-137198.03076079115</c:v>
                </c:pt>
                <c:pt idx="16">
                  <c:v>-137519.56945909609</c:v>
                </c:pt>
                <c:pt idx="17">
                  <c:v>-137844.00200568576</c:v>
                </c:pt>
                <c:pt idx="18">
                  <c:v>-138171.35444519474</c:v>
                </c:pt>
                <c:pt idx="19">
                  <c:v>-138501.6530566593</c:v>
                </c:pt>
                <c:pt idx="20">
                  <c:v>-144834.92435562704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B7-4907-8F4C-6B20890AFA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168808"/>
        <c:axId val="1"/>
      </c:scatterChart>
      <c:valAx>
        <c:axId val="648168808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424242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Standjahre</a:t>
                </a:r>
              </a:p>
            </c:rich>
          </c:tx>
          <c:layout>
            <c:manualLayout>
              <c:xMode val="edge"/>
              <c:yMode val="edge"/>
              <c:x val="0.52153086295522966"/>
              <c:y val="0.922530848200936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424242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ajorUnit val="1"/>
      </c:valAx>
      <c:valAx>
        <c:axId val="1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424242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Fr. / ha</a:t>
                </a:r>
              </a:p>
            </c:rich>
          </c:tx>
          <c:layout>
            <c:manualLayout>
              <c:xMode val="edge"/>
              <c:yMode val="edge"/>
              <c:x val="7.9744744367018019E-3"/>
              <c:y val="0.45770822950928602"/>
            </c:manualLayout>
          </c:layout>
          <c:overlay val="0"/>
          <c:spPr>
            <a:noFill/>
            <a:ln w="25400">
              <a:noFill/>
            </a:ln>
          </c:spPr>
        </c:title>
        <c:numFmt formatCode="\ #,##0\ &quot;Fr.&quot;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424242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48168808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E3E3E3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424242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Header>&amp;B</c:oddHeader>
      <c:oddFooter>Seite &amp;S</c:oddFooter>
    </c:headerFooter>
    <c:pageMargins b="0.984251969" l="0.78740157499999996" r="0.78740157499999996" t="0.984251969" header="0.4921259845" footer="0.492125984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850079744816586"/>
          <c:y val="0.15274463007159905"/>
          <c:w val="0.74800637958532701"/>
          <c:h val="0.74224343675417659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'Standard Cashflow'!$B$25:$B$45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'Standard Cashflow'!$C$25:$C$45</c:f>
              <c:numCache>
                <c:formatCode>\ #,##0\ "Fr."</c:formatCode>
                <c:ptCount val="21"/>
                <c:pt idx="0">
                  <c:v>-84975.307555555541</c:v>
                </c:pt>
                <c:pt idx="1">
                  <c:v>-94029.135323555543</c:v>
                </c:pt>
                <c:pt idx="2">
                  <c:v>-102751.67891646754</c:v>
                </c:pt>
                <c:pt idx="3">
                  <c:v>-115627.86298504908</c:v>
                </c:pt>
                <c:pt idx="4">
                  <c:v>-126133.10166858119</c:v>
                </c:pt>
                <c:pt idx="5">
                  <c:v>-134135.62541693175</c:v>
                </c:pt>
                <c:pt idx="6">
                  <c:v>-134429.39737901746</c:v>
                </c:pt>
                <c:pt idx="7">
                  <c:v>-134725.81328876194</c:v>
                </c:pt>
                <c:pt idx="8">
                  <c:v>-135024.89694169414</c:v>
                </c:pt>
                <c:pt idx="9">
                  <c:v>-135326.67234750272</c:v>
                </c:pt>
                <c:pt idx="10">
                  <c:v>-135631.16373196358</c:v>
                </c:pt>
                <c:pt idx="11">
                  <c:v>-135938.39553888459</c:v>
                </c:pt>
                <c:pt idx="12">
                  <c:v>-136248.39243206789</c:v>
                </c:pt>
                <c:pt idx="13">
                  <c:v>-136561.17929728984</c:v>
                </c:pt>
                <c:pt idx="14">
                  <c:v>-136876.78124429879</c:v>
                </c:pt>
                <c:pt idx="15">
                  <c:v>-137195.22360883083</c:v>
                </c:pt>
                <c:pt idx="16">
                  <c:v>-137516.53195464364</c:v>
                </c:pt>
                <c:pt idx="17">
                  <c:v>-137840.73207556875</c:v>
                </c:pt>
                <c:pt idx="18">
                  <c:v>-138167.84999758221</c:v>
                </c:pt>
                <c:pt idx="19">
                  <c:v>-138497.91198089378</c:v>
                </c:pt>
                <c:pt idx="20">
                  <c:v>-144830.94452205516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23-427C-B626-2722B4F86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166512"/>
        <c:axId val="1"/>
      </c:scatterChart>
      <c:valAx>
        <c:axId val="648166512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424242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Standjahre</a:t>
                </a:r>
              </a:p>
            </c:rich>
          </c:tx>
          <c:layout>
            <c:manualLayout>
              <c:xMode val="edge"/>
              <c:yMode val="edge"/>
              <c:x val="0.52153093303528453"/>
              <c:y val="0.921241050119331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424242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ajorUnit val="1"/>
      </c:valAx>
      <c:valAx>
        <c:axId val="1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424242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Fr. / ha</a:t>
                </a:r>
              </a:p>
            </c:rich>
          </c:tx>
          <c:layout>
            <c:manualLayout>
              <c:xMode val="edge"/>
              <c:yMode val="edge"/>
              <c:x val="7.9743142155077502E-3"/>
              <c:y val="0.45584725536992843"/>
            </c:manualLayout>
          </c:layout>
          <c:overlay val="0"/>
          <c:spPr>
            <a:noFill/>
            <a:ln w="25400">
              <a:noFill/>
            </a:ln>
          </c:spPr>
        </c:title>
        <c:numFmt formatCode="\ #,##0\ &quot;Fr.&quot;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424242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48166512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E3E3E3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424242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Header>&amp;B</c:oddHeader>
      <c:oddFooter>Seite &amp;S</c:oddFooter>
    </c:headerFooter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424242"/>
                </a:solidFill>
                <a:latin typeface="Arial"/>
                <a:ea typeface="Arial"/>
                <a:cs typeface="Arial"/>
              </a:defRPr>
            </a:pPr>
            <a:r>
              <a:rPr lang="de-CH" sz="1800" b="1" i="0" u="none" strike="noStrike" baseline="0">
                <a:solidFill>
                  <a:srgbClr val="424242"/>
                </a:solidFill>
                <a:latin typeface="Arial"/>
                <a:cs typeface="Arial"/>
              </a:rPr>
              <a:t> Cashflow-Kurve</a:t>
            </a:r>
          </a:p>
          <a:p>
            <a:pPr>
              <a:defRPr sz="1150" b="0" i="0" u="none" strike="noStrike" baseline="0">
                <a:solidFill>
                  <a:srgbClr val="424242"/>
                </a:solidFill>
                <a:latin typeface="Arial"/>
                <a:ea typeface="Arial"/>
                <a:cs typeface="Arial"/>
              </a:defRPr>
            </a:pPr>
            <a:r>
              <a:rPr lang="de-CH" sz="1200" b="1" i="0" u="none" strike="noStrike" baseline="0">
                <a:solidFill>
                  <a:srgbClr val="424242"/>
                </a:solidFill>
                <a:latin typeface="Arial"/>
                <a:cs typeface="Arial"/>
              </a:rPr>
              <a:t>Geldflusskurve</a:t>
            </a:r>
          </a:p>
        </c:rich>
      </c:tx>
      <c:layout>
        <c:manualLayout>
          <c:xMode val="edge"/>
          <c:yMode val="edge"/>
          <c:x val="0.38149729021428885"/>
          <c:y val="2.91835679630955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880256891793853"/>
          <c:y val="0.18787005084822245"/>
          <c:w val="0.70720245346977684"/>
          <c:h val="0.6402173577449134"/>
        </c:manualLayout>
      </c:layout>
      <c:scatterChart>
        <c:scatterStyle val="lineMarker"/>
        <c:varyColors val="0"/>
        <c:ser>
          <c:idx val="0"/>
          <c:order val="0"/>
          <c:tx>
            <c:strRef>
              <c:f>'Standard Cashflow'!$C$24</c:f>
              <c:strCache>
                <c:ptCount val="1"/>
                <c:pt idx="0">
                  <c:v>Standard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'Standard Cashflow'!$B$25:$B$45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'Standard Cashflow'!$C$25:$C$45</c:f>
              <c:numCache>
                <c:formatCode>\ #,##0\ "Fr."</c:formatCode>
                <c:ptCount val="21"/>
                <c:pt idx="0">
                  <c:v>-84975.307555555541</c:v>
                </c:pt>
                <c:pt idx="1">
                  <c:v>-94029.135323555543</c:v>
                </c:pt>
                <c:pt idx="2">
                  <c:v>-102751.67891646754</c:v>
                </c:pt>
                <c:pt idx="3">
                  <c:v>-115627.86298504908</c:v>
                </c:pt>
                <c:pt idx="4">
                  <c:v>-126133.10166858119</c:v>
                </c:pt>
                <c:pt idx="5">
                  <c:v>-134135.62541693175</c:v>
                </c:pt>
                <c:pt idx="6">
                  <c:v>-134429.39737901746</c:v>
                </c:pt>
                <c:pt idx="7">
                  <c:v>-134725.81328876194</c:v>
                </c:pt>
                <c:pt idx="8">
                  <c:v>-135024.89694169414</c:v>
                </c:pt>
                <c:pt idx="9">
                  <c:v>-135326.67234750272</c:v>
                </c:pt>
                <c:pt idx="10">
                  <c:v>-135631.16373196358</c:v>
                </c:pt>
                <c:pt idx="11">
                  <c:v>-135938.39553888459</c:v>
                </c:pt>
                <c:pt idx="12">
                  <c:v>-136248.39243206789</c:v>
                </c:pt>
                <c:pt idx="13">
                  <c:v>-136561.17929728984</c:v>
                </c:pt>
                <c:pt idx="14">
                  <c:v>-136876.78124429879</c:v>
                </c:pt>
                <c:pt idx="15">
                  <c:v>-137195.22360883083</c:v>
                </c:pt>
                <c:pt idx="16">
                  <c:v>-137516.53195464364</c:v>
                </c:pt>
                <c:pt idx="17">
                  <c:v>-137840.73207556875</c:v>
                </c:pt>
                <c:pt idx="18">
                  <c:v>-138167.84999758221</c:v>
                </c:pt>
                <c:pt idx="19">
                  <c:v>-138497.91198089378</c:v>
                </c:pt>
                <c:pt idx="20">
                  <c:v>-144830.94452205516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B8-40EC-832B-96E445D4DA58}"/>
            </c:ext>
          </c:extLst>
        </c:ser>
        <c:ser>
          <c:idx val="1"/>
          <c:order val="1"/>
          <c:tx>
            <c:strRef>
              <c:f>'Variante Cashflow'!$C$24</c:f>
              <c:strCache>
                <c:ptCount val="1"/>
                <c:pt idx="0">
                  <c:v>Variante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'Standard Cashflow'!$B$25:$B$45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'Variante Cashflow'!$C$25:$C$45</c:f>
              <c:numCache>
                <c:formatCode>\ #,##0\ "Fr."</c:formatCode>
                <c:ptCount val="21"/>
                <c:pt idx="0">
                  <c:v>-84975.419771157554</c:v>
                </c:pt>
                <c:pt idx="1">
                  <c:v>-94029.292186842751</c:v>
                </c:pt>
                <c:pt idx="2">
                  <c:v>-102751.90307027666</c:v>
                </c:pt>
                <c:pt idx="3">
                  <c:v>-115628.17883305543</c:v>
                </c:pt>
                <c:pt idx="4">
                  <c:v>-126133.53194756471</c:v>
                </c:pt>
                <c:pt idx="5">
                  <c:v>-134136.23908068184</c:v>
                </c:pt>
                <c:pt idx="6">
                  <c:v>-134430.2216538658</c:v>
                </c:pt>
                <c:pt idx="7">
                  <c:v>-134726.8500702084</c:v>
                </c:pt>
                <c:pt idx="8">
                  <c:v>-135026.1481422981</c:v>
                </c:pt>
                <c:pt idx="9">
                  <c:v>-135328.1398970366</c:v>
                </c:pt>
                <c:pt idx="10">
                  <c:v>-135632.84957756774</c:v>
                </c:pt>
                <c:pt idx="11">
                  <c:v>-135940.30164522366</c:v>
                </c:pt>
                <c:pt idx="12">
                  <c:v>-136250.52078148848</c:v>
                </c:pt>
                <c:pt idx="13">
                  <c:v>-136563.5318899797</c:v>
                </c:pt>
                <c:pt idx="14">
                  <c:v>-136879.36009844733</c:v>
                </c:pt>
                <c:pt idx="15">
                  <c:v>-137198.03076079115</c:v>
                </c:pt>
                <c:pt idx="16">
                  <c:v>-137519.56945909609</c:v>
                </c:pt>
                <c:pt idx="17">
                  <c:v>-137844.00200568576</c:v>
                </c:pt>
                <c:pt idx="18">
                  <c:v>-138171.35444519474</c:v>
                </c:pt>
                <c:pt idx="19">
                  <c:v>-138501.6530566593</c:v>
                </c:pt>
                <c:pt idx="20">
                  <c:v>-144834.92435562704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3B8-40EC-832B-96E445D4D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9260968"/>
        <c:axId val="1"/>
      </c:scatterChart>
      <c:valAx>
        <c:axId val="649260968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 sz="1150" b="1" i="0" u="none" strike="noStrike" baseline="0">
                    <a:solidFill>
                      <a:srgbClr val="424242"/>
                    </a:solidFill>
                    <a:latin typeface="Arial"/>
                    <a:cs typeface="Arial"/>
                  </a:rPr>
                  <a:t>Standjahre </a:t>
                </a:r>
                <a:r>
                  <a:rPr lang="de-CH" sz="1150" b="0" i="0" u="none" strike="noStrike" baseline="0">
                    <a:solidFill>
                      <a:srgbClr val="424242"/>
                    </a:solidFill>
                    <a:latin typeface="Arial"/>
                    <a:cs typeface="Arial"/>
                  </a:rPr>
                  <a:t>(0 = Erstellung)</a:t>
                </a:r>
              </a:p>
            </c:rich>
          </c:tx>
          <c:layout>
            <c:manualLayout>
              <c:xMode val="edge"/>
              <c:yMode val="edge"/>
              <c:x val="0.45689180255183032"/>
              <c:y val="0.846327248866618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424242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ajorUnit val="2"/>
        <c:minorUnit val="1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424242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Fr. / ha</a:t>
                </a:r>
              </a:p>
            </c:rich>
          </c:tx>
          <c:layout>
            <c:manualLayout>
              <c:xMode val="edge"/>
              <c:yMode val="edge"/>
              <c:x val="4.8252791930420466E-2"/>
              <c:y val="0.45964308438717888"/>
            </c:manualLayout>
          </c:layout>
          <c:overlay val="0"/>
          <c:spPr>
            <a:noFill/>
            <a:ln w="25400">
              <a:noFill/>
            </a:ln>
          </c:spPr>
        </c:title>
        <c:numFmt formatCode="\ #,##0\ &quot;Fr.&quot;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424242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49260968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4535897683429532"/>
          <c:y val="0.92867981790591814"/>
          <c:w val="0.29024714321390749"/>
          <c:h val="4.704097116843702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70" b="0" i="0" u="none" strike="noStrike" baseline="0">
              <a:solidFill>
                <a:srgbClr val="424242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E3E3E3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424242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-4" verticalDpi="46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424242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Gliederung der Sachkosten</a:t>
            </a:r>
          </a:p>
        </c:rich>
      </c:tx>
      <c:layout>
        <c:manualLayout>
          <c:xMode val="edge"/>
          <c:yMode val="edge"/>
          <c:x val="0.36417922378991963"/>
          <c:y val="3.21012517666060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5233592495789"/>
          <c:y val="0.12840481469826145"/>
          <c:w val="0.6133546137302236"/>
          <c:h val="0.740797007874585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'Standard Ertragsphase'!$B$116</c:f>
              <c:strCache>
                <c:ptCount val="1"/>
                <c:pt idx="0">
                  <c:v>Standard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'Standard Ertragsphase'!$A$117:$A$119</c:f>
              <c:strCache>
                <c:ptCount val="3"/>
                <c:pt idx="0">
                  <c:v>Abschreibung Obstanlage </c:v>
                </c:pt>
                <c:pt idx="1">
                  <c:v>Maschinen und Geräte</c:v>
                </c:pt>
                <c:pt idx="2">
                  <c:v>übrige Kosten (aus Posten mit &lt; 10%)</c:v>
                </c:pt>
              </c:strCache>
            </c:strRef>
          </c:cat>
          <c:val>
            <c:numRef>
              <c:f>'Standard Ertragsphase'!$B$117:$B$119</c:f>
              <c:numCache>
                <c:formatCode>\ #,##0\ "Fr."</c:formatCode>
                <c:ptCount val="3"/>
                <c:pt idx="0">
                  <c:v>8942.3750277954496</c:v>
                </c:pt>
                <c:pt idx="1">
                  <c:v>4870.7833333333338</c:v>
                </c:pt>
                <c:pt idx="2">
                  <c:v>7554.7999999999947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D2-423C-891A-F21EDABAD23E}"/>
            </c:ext>
          </c:extLst>
        </c:ser>
        <c:ser>
          <c:idx val="1"/>
          <c:order val="1"/>
          <c:tx>
            <c:strRef>
              <c:f>'Variante Ertragsphase'!$B$117</c:f>
              <c:strCache>
                <c:ptCount val="1"/>
                <c:pt idx="0">
                  <c:v>Variante</c:v>
                </c:pt>
              </c:strCache>
            </c:strRef>
          </c:tx>
          <c:spPr>
            <a:solidFill>
              <a:srgbClr val="3399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'Standard Ertragsphase'!$A$117:$A$119</c:f>
              <c:strCache>
                <c:ptCount val="3"/>
                <c:pt idx="0">
                  <c:v>Abschreibung Obstanlage </c:v>
                </c:pt>
                <c:pt idx="1">
                  <c:v>Maschinen und Geräte</c:v>
                </c:pt>
                <c:pt idx="2">
                  <c:v>übrige Kosten (aus Posten mit &lt; 10%)</c:v>
                </c:pt>
              </c:strCache>
            </c:strRef>
          </c:cat>
          <c:val>
            <c:numRef>
              <c:f>'Variante Ertragsphase'!$B$118:$B$120</c:f>
              <c:numCache>
                <c:formatCode>\ #,##0\ "Fr."</c:formatCode>
                <c:ptCount val="3"/>
                <c:pt idx="0">
                  <c:v>8942.4159387121235</c:v>
                </c:pt>
                <c:pt idx="1">
                  <c:v>4870.9884214578115</c:v>
                </c:pt>
                <c:pt idx="2">
                  <c:v>7554.7999999999984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D2-423C-891A-F21EDABAD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9257360"/>
        <c:axId val="1"/>
      </c:barChart>
      <c:catAx>
        <c:axId val="6492573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424242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 #,##0\ &quot;Fr.&quot;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424242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49257360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192528330143813"/>
          <c:y val="0.32809430255402755"/>
          <c:w val="0.13622907195318476"/>
          <c:h val="0.212180746561886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424242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8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424242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-4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424242"/>
                </a:solidFill>
                <a:latin typeface="Arial"/>
                <a:ea typeface="Arial"/>
                <a:cs typeface="Arial"/>
              </a:defRPr>
            </a:pPr>
            <a:r>
              <a:rPr lang="de-CH" sz="1900" b="1" i="0" u="none" strike="noStrike" baseline="0">
                <a:solidFill>
                  <a:srgbClr val="424242"/>
                </a:solidFill>
                <a:latin typeface="Arial"/>
                <a:cs typeface="Arial"/>
              </a:rPr>
              <a:t>Produktionskosten- / </a:t>
            </a:r>
          </a:p>
          <a:p>
            <a:pPr>
              <a:defRPr sz="1200" b="0" i="0" u="none" strike="noStrike" baseline="0">
                <a:solidFill>
                  <a:srgbClr val="424242"/>
                </a:solidFill>
                <a:latin typeface="Arial"/>
                <a:ea typeface="Arial"/>
                <a:cs typeface="Arial"/>
              </a:defRPr>
            </a:pPr>
            <a:r>
              <a:rPr lang="de-CH" sz="1900" b="1" i="0" u="none" strike="noStrike" baseline="0">
                <a:solidFill>
                  <a:srgbClr val="424242"/>
                </a:solidFill>
                <a:latin typeface="Arial"/>
                <a:cs typeface="Arial"/>
              </a:rPr>
              <a:t>Leistungsvergleich</a:t>
            </a:r>
          </a:p>
          <a:p>
            <a:pPr>
              <a:defRPr sz="1200" b="0" i="0" u="none" strike="noStrike" baseline="0">
                <a:solidFill>
                  <a:srgbClr val="424242"/>
                </a:solidFill>
                <a:latin typeface="Arial"/>
                <a:ea typeface="Arial"/>
                <a:cs typeface="Arial"/>
              </a:defRPr>
            </a:pPr>
            <a:endParaRPr lang="de-CH" sz="1900" b="1" i="0" u="none" strike="noStrike" baseline="0">
              <a:solidFill>
                <a:srgbClr val="424242"/>
              </a:solidFill>
              <a:latin typeface="Arial"/>
              <a:cs typeface="Arial"/>
            </a:endParaRPr>
          </a:p>
          <a:p>
            <a:pPr>
              <a:defRPr sz="1200" b="0" i="0" u="none" strike="noStrike" baseline="0">
                <a:solidFill>
                  <a:srgbClr val="424242"/>
                </a:solidFill>
                <a:latin typeface="Arial"/>
                <a:ea typeface="Arial"/>
                <a:cs typeface="Arial"/>
              </a:defRPr>
            </a:pPr>
            <a:r>
              <a:rPr lang="de-CH" sz="1900" b="1" i="1" u="none" strike="noStrike" baseline="0">
                <a:solidFill>
                  <a:srgbClr val="000080"/>
                </a:solidFill>
                <a:latin typeface="Arial"/>
                <a:cs typeface="Arial"/>
              </a:rPr>
              <a:t>Standard</a:t>
            </a:r>
          </a:p>
          <a:p>
            <a:pPr>
              <a:defRPr sz="1200" b="0" i="0" u="none" strike="noStrike" baseline="0">
                <a:solidFill>
                  <a:srgbClr val="424242"/>
                </a:solidFill>
                <a:latin typeface="Arial"/>
                <a:ea typeface="Arial"/>
                <a:cs typeface="Arial"/>
              </a:defRPr>
            </a:pPr>
            <a:endParaRPr lang="de-CH" sz="1900" b="1" i="1" u="none" strike="noStrike" baseline="0">
              <a:solidFill>
                <a:srgbClr val="00008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31592273267999776"/>
          <c:y val="2.60159300239149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0467485458892"/>
          <c:y val="0.20586539110324337"/>
          <c:w val="0.79415447404052986"/>
          <c:h val="0.669628085346813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'Standard Cashflow'!$D$24</c:f>
              <c:strCache>
                <c:ptCount val="1"/>
                <c:pt idx="0">
                  <c:v>Leistung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'Standard Cashflow'!$B$25:$B$40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cat>
          <c:val>
            <c:numRef>
              <c:f>'Standard Cashflow'!$D$25:$D$40</c:f>
              <c:numCache>
                <c:formatCode>#,##0\ "Fr."</c:formatCode>
                <c:ptCount val="16"/>
                <c:pt idx="0">
                  <c:v>0</c:v>
                </c:pt>
                <c:pt idx="1">
                  <c:v>1100</c:v>
                </c:pt>
                <c:pt idx="2">
                  <c:v>3722</c:v>
                </c:pt>
                <c:pt idx="3">
                  <c:v>5470</c:v>
                </c:pt>
                <c:pt idx="4">
                  <c:v>9840</c:v>
                </c:pt>
                <c:pt idx="5">
                  <c:v>18580</c:v>
                </c:pt>
                <c:pt idx="6">
                  <c:v>29068</c:v>
                </c:pt>
                <c:pt idx="7">
                  <c:v>29068</c:v>
                </c:pt>
                <c:pt idx="8">
                  <c:v>29068</c:v>
                </c:pt>
                <c:pt idx="9">
                  <c:v>29068</c:v>
                </c:pt>
                <c:pt idx="10">
                  <c:v>29068</c:v>
                </c:pt>
                <c:pt idx="11">
                  <c:v>29068</c:v>
                </c:pt>
                <c:pt idx="12">
                  <c:v>29068</c:v>
                </c:pt>
                <c:pt idx="13">
                  <c:v>29068</c:v>
                </c:pt>
                <c:pt idx="14">
                  <c:v>29068</c:v>
                </c:pt>
                <c:pt idx="15">
                  <c:v>29068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2E-4DAF-97F1-307131F923EA}"/>
            </c:ext>
          </c:extLst>
        </c:ser>
        <c:ser>
          <c:idx val="1"/>
          <c:order val="1"/>
          <c:tx>
            <c:strRef>
              <c:f>'Standard Cashflow'!$E$24</c:f>
              <c:strCache>
                <c:ptCount val="1"/>
                <c:pt idx="0">
                  <c:v>Produktionskosten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'Standard Cashflow'!$B$25:$B$40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cat>
          <c:val>
            <c:numRef>
              <c:f>'Standard Cashflow'!$E$25:$E$40</c:f>
              <c:numCache>
                <c:formatCode>#,##0\ "Fr."</c:formatCode>
                <c:ptCount val="16"/>
                <c:pt idx="0">
                  <c:v>84975.307555555541</c:v>
                </c:pt>
                <c:pt idx="1">
                  <c:v>10153.827767999999</c:v>
                </c:pt>
                <c:pt idx="2">
                  <c:v>12444.543592911999</c:v>
                </c:pt>
                <c:pt idx="3">
                  <c:v>18346.184068581544</c:v>
                </c:pt>
                <c:pt idx="4">
                  <c:v>20345.238683532109</c:v>
                </c:pt>
                <c:pt idx="5">
                  <c:v>26582.523748350563</c:v>
                </c:pt>
                <c:pt idx="6">
                  <c:v>29361.771962085717</c:v>
                </c:pt>
                <c:pt idx="7">
                  <c:v>29364.41590974449</c:v>
                </c:pt>
                <c:pt idx="8">
                  <c:v>29367.08365293219</c:v>
                </c:pt>
                <c:pt idx="9">
                  <c:v>29369.775405808581</c:v>
                </c:pt>
                <c:pt idx="10">
                  <c:v>29372.491384460856</c:v>
                </c:pt>
                <c:pt idx="11">
                  <c:v>29375.231806921005</c:v>
                </c:pt>
                <c:pt idx="12">
                  <c:v>29377.996893183295</c:v>
                </c:pt>
                <c:pt idx="13">
                  <c:v>29380.786865221944</c:v>
                </c:pt>
                <c:pt idx="14">
                  <c:v>29383.601947008941</c:v>
                </c:pt>
                <c:pt idx="15">
                  <c:v>29386.44236453202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2E-4DAF-97F1-307131F92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9272776"/>
        <c:axId val="1"/>
      </c:barChart>
      <c:catAx>
        <c:axId val="649272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424242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Standjahre</a:t>
                </a:r>
              </a:p>
            </c:rich>
          </c:tx>
          <c:layout>
            <c:manualLayout>
              <c:xMode val="edge"/>
              <c:yMode val="edge"/>
              <c:x val="0.52025816197435748"/>
              <c:y val="0.910558347053855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424242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424242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Fr. / ha</a:t>
                </a:r>
              </a:p>
            </c:rich>
          </c:tx>
          <c:layout>
            <c:manualLayout>
              <c:xMode val="edge"/>
              <c:yMode val="edge"/>
              <c:x val="1.7390207519024151E-2"/>
              <c:y val="0.511270164902193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\ &quot;Fr.&quot;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424242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4927277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849959530872523"/>
          <c:y val="0.95270270270270285"/>
          <c:w val="0.33370674379289983"/>
          <c:h val="2.871621621621621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424242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424242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0" i="0" u="none" strike="noStrike" baseline="0">
                <a:solidFill>
                  <a:srgbClr val="424242"/>
                </a:solidFill>
                <a:latin typeface="Arial"/>
                <a:ea typeface="Arial"/>
                <a:cs typeface="Arial"/>
              </a:defRPr>
            </a:pPr>
            <a:r>
              <a:rPr lang="de-CH" sz="1850" b="1" i="0" u="none" strike="noStrike" baseline="0">
                <a:solidFill>
                  <a:srgbClr val="424242"/>
                </a:solidFill>
                <a:latin typeface="Arial"/>
                <a:cs typeface="Arial"/>
              </a:rPr>
              <a:t>Produktionskosten- / </a:t>
            </a:r>
          </a:p>
          <a:p>
            <a:pPr>
              <a:defRPr sz="1175" b="0" i="0" u="none" strike="noStrike" baseline="0">
                <a:solidFill>
                  <a:srgbClr val="424242"/>
                </a:solidFill>
                <a:latin typeface="Arial"/>
                <a:ea typeface="Arial"/>
                <a:cs typeface="Arial"/>
              </a:defRPr>
            </a:pPr>
            <a:r>
              <a:rPr lang="de-CH" sz="1850" b="1" i="0" u="none" strike="noStrike" baseline="0">
                <a:solidFill>
                  <a:srgbClr val="424242"/>
                </a:solidFill>
                <a:latin typeface="Arial"/>
                <a:cs typeface="Arial"/>
              </a:rPr>
              <a:t>Leistungsvergleich</a:t>
            </a:r>
          </a:p>
          <a:p>
            <a:pPr>
              <a:defRPr sz="1175" b="0" i="0" u="none" strike="noStrike" baseline="0">
                <a:solidFill>
                  <a:srgbClr val="424242"/>
                </a:solidFill>
                <a:latin typeface="Arial"/>
                <a:ea typeface="Arial"/>
                <a:cs typeface="Arial"/>
              </a:defRPr>
            </a:pPr>
            <a:endParaRPr lang="de-CH" sz="1850" b="1" i="0" u="none" strike="noStrike" baseline="0">
              <a:solidFill>
                <a:srgbClr val="424242"/>
              </a:solidFill>
              <a:latin typeface="Arial"/>
              <a:cs typeface="Arial"/>
            </a:endParaRPr>
          </a:p>
          <a:p>
            <a:pPr>
              <a:defRPr sz="1175" b="0" i="0" u="none" strike="noStrike" baseline="0">
                <a:solidFill>
                  <a:srgbClr val="424242"/>
                </a:solidFill>
                <a:latin typeface="Arial"/>
                <a:ea typeface="Arial"/>
                <a:cs typeface="Arial"/>
              </a:defRPr>
            </a:pPr>
            <a:r>
              <a:rPr lang="de-CH" sz="1850" b="1" i="1" u="none" strike="noStrike" baseline="0">
                <a:solidFill>
                  <a:srgbClr val="008000"/>
                </a:solidFill>
                <a:latin typeface="Arial"/>
                <a:cs typeface="Arial"/>
              </a:rPr>
              <a:t>Variante</a:t>
            </a:r>
          </a:p>
        </c:rich>
      </c:tx>
      <c:layout>
        <c:manualLayout>
          <c:xMode val="edge"/>
          <c:yMode val="edge"/>
          <c:x val="0.31084303833278326"/>
          <c:y val="2.4969188634029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876030208378559"/>
          <c:y val="0.20429282414805022"/>
          <c:w val="0.78009682471982023"/>
          <c:h val="0.6707614392860982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'Variante Cashflow'!$D$24</c:f>
              <c:strCache>
                <c:ptCount val="1"/>
                <c:pt idx="0">
                  <c:v>Leistung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'Variante Cashflow'!$D$25:$D$40</c:f>
              <c:numCache>
                <c:formatCode>#,##0\ "Fr."</c:formatCode>
                <c:ptCount val="16"/>
                <c:pt idx="0">
                  <c:v>0</c:v>
                </c:pt>
                <c:pt idx="1">
                  <c:v>1100</c:v>
                </c:pt>
                <c:pt idx="2">
                  <c:v>3722</c:v>
                </c:pt>
                <c:pt idx="3">
                  <c:v>5470</c:v>
                </c:pt>
                <c:pt idx="4">
                  <c:v>9840</c:v>
                </c:pt>
                <c:pt idx="5">
                  <c:v>18580</c:v>
                </c:pt>
                <c:pt idx="6">
                  <c:v>29068</c:v>
                </c:pt>
                <c:pt idx="7">
                  <c:v>29068</c:v>
                </c:pt>
                <c:pt idx="8">
                  <c:v>29068</c:v>
                </c:pt>
                <c:pt idx="9">
                  <c:v>29068</c:v>
                </c:pt>
                <c:pt idx="10">
                  <c:v>29068</c:v>
                </c:pt>
                <c:pt idx="11">
                  <c:v>29068</c:v>
                </c:pt>
                <c:pt idx="12">
                  <c:v>29068</c:v>
                </c:pt>
                <c:pt idx="13">
                  <c:v>29068</c:v>
                </c:pt>
                <c:pt idx="14">
                  <c:v>29068</c:v>
                </c:pt>
                <c:pt idx="15">
                  <c:v>29068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24-4452-9F0D-97113A46575C}"/>
            </c:ext>
          </c:extLst>
        </c:ser>
        <c:ser>
          <c:idx val="3"/>
          <c:order val="1"/>
          <c:tx>
            <c:strRef>
              <c:f>'Variante Cashflow'!$E$24</c:f>
              <c:strCache>
                <c:ptCount val="1"/>
                <c:pt idx="0">
                  <c:v>Produktionskosten</c:v>
                </c:pt>
              </c:strCache>
            </c:strRef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'Variante Cashflow'!$E$25:$E$40</c:f>
              <c:numCache>
                <c:formatCode>#,##0\ "Fr."</c:formatCode>
                <c:ptCount val="16"/>
                <c:pt idx="0">
                  <c:v>84975.419771157554</c:v>
                </c:pt>
                <c:pt idx="1">
                  <c:v>10153.872415685202</c:v>
                </c:pt>
                <c:pt idx="2">
                  <c:v>12444.610883433907</c:v>
                </c:pt>
                <c:pt idx="3">
                  <c:v>18346.275762778758</c:v>
                </c:pt>
                <c:pt idx="4">
                  <c:v>20345.353114509289</c:v>
                </c:pt>
                <c:pt idx="5">
                  <c:v>26582.707133117128</c:v>
                </c:pt>
                <c:pt idx="6">
                  <c:v>29361.982573183948</c:v>
                </c:pt>
                <c:pt idx="7">
                  <c:v>29364.628416342606</c:v>
                </c:pt>
                <c:pt idx="8">
                  <c:v>29367.298072089689</c:v>
                </c:pt>
                <c:pt idx="9">
                  <c:v>29369.991754738494</c:v>
                </c:pt>
                <c:pt idx="10">
                  <c:v>29372.709680531141</c:v>
                </c:pt>
                <c:pt idx="11">
                  <c:v>29375.452067655922</c:v>
                </c:pt>
                <c:pt idx="12">
                  <c:v>29378.219136264826</c:v>
                </c:pt>
                <c:pt idx="13">
                  <c:v>29381.01110849121</c:v>
                </c:pt>
                <c:pt idx="14">
                  <c:v>29383.828208467628</c:v>
                </c:pt>
                <c:pt idx="15">
                  <c:v>29386.670662343837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24-4452-9F0D-97113A465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9269168"/>
        <c:axId val="1"/>
      </c:barChart>
      <c:catAx>
        <c:axId val="649269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424242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Standjahre</a:t>
                </a:r>
              </a:p>
            </c:rich>
          </c:tx>
          <c:layout>
            <c:manualLayout>
              <c:xMode val="edge"/>
              <c:yMode val="edge"/>
              <c:x val="0.52305326355163695"/>
              <c:y val="0.915912815245920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424242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424242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CH"/>
                  <a:t>Fr. / ha</a:t>
                </a:r>
              </a:p>
            </c:rich>
          </c:tx>
          <c:layout>
            <c:manualLayout>
              <c:xMode val="edge"/>
              <c:yMode val="edge"/>
              <c:x val="2.5405409653134675E-2"/>
              <c:y val="0.507327171060139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\ &quot;Fr.&quot;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424242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4926916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909137471246576"/>
          <c:y val="0.95169560442072798"/>
          <c:w val="0.34731974263337551"/>
          <c:h val="2.881358018727047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90" b="0" i="0" u="none" strike="noStrike" baseline="0">
              <a:solidFill>
                <a:srgbClr val="424242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424242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424242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Gliederung der Kapitalkosten</a:t>
            </a:r>
          </a:p>
        </c:rich>
      </c:tx>
      <c:layout>
        <c:manualLayout>
          <c:xMode val="edge"/>
          <c:yMode val="edge"/>
          <c:x val="0.35575458490135137"/>
          <c:y val="3.73609409934869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572374882734"/>
          <c:y val="0.20922345712720306"/>
          <c:w val="0.67847476272017648"/>
          <c:h val="0.6089897055666803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'Standard Ertragsphase'!$B$92</c:f>
              <c:strCache>
                <c:ptCount val="1"/>
                <c:pt idx="0">
                  <c:v>Standard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'Standard Ertragsphase'!$A$93:$A$94</c:f>
              <c:strCache>
                <c:ptCount val="2"/>
                <c:pt idx="0">
                  <c:v>für Boden</c:v>
                </c:pt>
                <c:pt idx="1">
                  <c:v>für Investition Obstanlage </c:v>
                </c:pt>
              </c:strCache>
            </c:strRef>
          </c:cat>
          <c:val>
            <c:numRef>
              <c:f>'Standard Ertragsphase'!$B$93:$B$94</c:f>
              <c:numCache>
                <c:formatCode>\ #,##0\ "Fr."</c:formatCode>
                <c:ptCount val="2"/>
                <c:pt idx="0">
                  <c:v>660</c:v>
                </c:pt>
                <c:pt idx="1">
                  <c:v>1207.2206287523857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1F-4B96-86EB-7DB4364EABA4}"/>
            </c:ext>
          </c:extLst>
        </c:ser>
        <c:ser>
          <c:idx val="1"/>
          <c:order val="1"/>
          <c:tx>
            <c:strRef>
              <c:f>'Variante Ertragsphase'!$B$93</c:f>
              <c:strCache>
                <c:ptCount val="1"/>
                <c:pt idx="0">
                  <c:v>Variante</c:v>
                </c:pt>
              </c:strCache>
            </c:strRef>
          </c:tx>
          <c:spPr>
            <a:solidFill>
              <a:srgbClr val="3399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'Standard Ertragsphase'!$A$93:$A$94</c:f>
              <c:strCache>
                <c:ptCount val="2"/>
                <c:pt idx="0">
                  <c:v>für Boden</c:v>
                </c:pt>
                <c:pt idx="1">
                  <c:v>für Investition Obstanlage </c:v>
                </c:pt>
              </c:strCache>
            </c:strRef>
          </c:cat>
          <c:val>
            <c:numRef>
              <c:f>'Variante Ertragsphase'!$B$94:$B$95</c:f>
              <c:numCache>
                <c:formatCode>\ #,##0\ "Fr."</c:formatCode>
                <c:ptCount val="2"/>
                <c:pt idx="0">
                  <c:v>660</c:v>
                </c:pt>
                <c:pt idx="1">
                  <c:v>1207.2261517261365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1F-4B96-86EB-7DB4364EA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9266544"/>
        <c:axId val="1"/>
      </c:barChart>
      <c:catAx>
        <c:axId val="6492665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424242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 #,##0\ &quot;Fr.&quot;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424242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49266544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377821393523068"/>
          <c:y val="0.33333431087624016"/>
          <c:w val="0.13738959764474976"/>
          <c:h val="0.3183192518277608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424242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8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424242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424242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Gliederung der Arbeitskosten</a:t>
            </a:r>
          </a:p>
        </c:rich>
      </c:tx>
      <c:layout>
        <c:manualLayout>
          <c:xMode val="edge"/>
          <c:yMode val="edge"/>
          <c:x val="0.35838506262666536"/>
          <c:y val="4.22140565762613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084590085801437"/>
          <c:y val="0.13638406854720111"/>
          <c:w val="0.63514507528890141"/>
          <c:h val="0.6429534660082338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'Standard Ertragsphase'!$B$97</c:f>
              <c:strCache>
                <c:ptCount val="1"/>
                <c:pt idx="0">
                  <c:v>Standard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'Standard Ertragsphase'!$A$109:$A$112</c:f>
              <c:strCache>
                <c:ptCount val="4"/>
                <c:pt idx="0">
                  <c:v>Ernte baumfallend</c:v>
                </c:pt>
                <c:pt idx="1">
                  <c:v>Baumerziehung (Sommer+Winter)</c:v>
                </c:pt>
                <c:pt idx="2">
                  <c:v>Behangsregulierung (von Hand)</c:v>
                </c:pt>
                <c:pt idx="3">
                  <c:v>übrige Arbeiten (aus Posten &lt; 10%)</c:v>
                </c:pt>
              </c:strCache>
            </c:strRef>
          </c:cat>
          <c:val>
            <c:numRef>
              <c:f>'Standard Ertragsphase'!$B$109:$B$112</c:f>
              <c:numCache>
                <c:formatCode>\ #,##0\ "Fr."</c:formatCode>
                <c:ptCount val="4"/>
                <c:pt idx="0">
                  <c:v>5043.9679999999989</c:v>
                </c:pt>
                <c:pt idx="1">
                  <c:v>5232</c:v>
                </c:pt>
                <c:pt idx="2">
                  <c:v>927.2</c:v>
                </c:pt>
                <c:pt idx="3">
                  <c:v>3650.7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8-4A8F-804B-B51AAAFDF96A}"/>
            </c:ext>
          </c:extLst>
        </c:ser>
        <c:ser>
          <c:idx val="1"/>
          <c:order val="1"/>
          <c:tx>
            <c:strRef>
              <c:f>'Variante Ertragsphase'!$B$109</c:f>
              <c:strCache>
                <c:ptCount val="1"/>
                <c:pt idx="0">
                  <c:v>Variante</c:v>
                </c:pt>
              </c:strCache>
            </c:strRef>
          </c:tx>
          <c:spPr>
            <a:solidFill>
              <a:srgbClr val="3399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'Variante Ertragsphase'!$B$110:$B$113</c:f>
              <c:numCache>
                <c:formatCode>\ #,##0\ "Fr."</c:formatCode>
                <c:ptCount val="4"/>
                <c:pt idx="0">
                  <c:v>463.6</c:v>
                </c:pt>
                <c:pt idx="1">
                  <c:v>5232</c:v>
                </c:pt>
                <c:pt idx="2">
                  <c:v>927.2</c:v>
                </c:pt>
                <c:pt idx="3">
                  <c:v>3650.7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18-4A8F-804B-B51AAAFDF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9274744"/>
        <c:axId val="1"/>
      </c:barChart>
      <c:catAx>
        <c:axId val="6492747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424242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 #,##0\ &quot;Fr.&quot;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424242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49274744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729135369836683"/>
          <c:y val="0.31876606683804631"/>
          <c:w val="0.14285726312356184"/>
          <c:h val="0.285347043701799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424242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8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424242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424242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Gliederung der Pflanzenschutzkosten</a:t>
            </a:r>
          </a:p>
        </c:rich>
      </c:tx>
      <c:layout>
        <c:manualLayout>
          <c:xMode val="edge"/>
          <c:yMode val="edge"/>
          <c:x val="0.31247097910229577"/>
          <c:y val="3.06094143798625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36534689710211"/>
          <c:y val="0.12039782537539211"/>
          <c:w val="0.70146544459617632"/>
          <c:h val="0.7652404155215599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'Standard Ertragsphase'!$B$146</c:f>
              <c:strCache>
                <c:ptCount val="1"/>
                <c:pt idx="0">
                  <c:v>Standard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'Variante Ertragsphase'!$A$148:$A$150</c:f>
              <c:strCache>
                <c:ptCount val="3"/>
                <c:pt idx="0">
                  <c:v>Material</c:v>
                </c:pt>
                <c:pt idx="1">
                  <c:v>Maschinen</c:v>
                </c:pt>
                <c:pt idx="2">
                  <c:v>Arbeit</c:v>
                </c:pt>
              </c:strCache>
            </c:strRef>
          </c:cat>
          <c:val>
            <c:numRef>
              <c:f>'Standard Ertragsphase'!$B$147:$B$149</c:f>
              <c:numCache>
                <c:formatCode>\ #,##0\ "Fr."</c:formatCode>
                <c:ptCount val="3"/>
                <c:pt idx="0">
                  <c:v>4240</c:v>
                </c:pt>
                <c:pt idx="1">
                  <c:v>2199</c:v>
                </c:pt>
                <c:pt idx="2">
                  <c:v>1569.6000000000001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CA-45BB-B53B-78615FFFBA82}"/>
            </c:ext>
          </c:extLst>
        </c:ser>
        <c:ser>
          <c:idx val="1"/>
          <c:order val="1"/>
          <c:tx>
            <c:strRef>
              <c:f>'Variante Ertragsphase'!$B$131</c:f>
              <c:strCache>
                <c:ptCount val="1"/>
                <c:pt idx="0">
                  <c:v>Variante</c:v>
                </c:pt>
              </c:strCache>
            </c:strRef>
          </c:tx>
          <c:spPr>
            <a:solidFill>
              <a:srgbClr val="3399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'Variante Ertragsphase'!$A$148:$A$150</c:f>
              <c:strCache>
                <c:ptCount val="3"/>
                <c:pt idx="0">
                  <c:v>Material</c:v>
                </c:pt>
                <c:pt idx="1">
                  <c:v>Maschinen</c:v>
                </c:pt>
                <c:pt idx="2">
                  <c:v>Arbeit</c:v>
                </c:pt>
              </c:strCache>
            </c:strRef>
          </c:cat>
          <c:val>
            <c:numRef>
              <c:f>'Variante Ertragsphase'!$B$148:$B$150</c:f>
              <c:numCache>
                <c:formatCode>\ #,##0\ "Fr."</c:formatCode>
                <c:ptCount val="3"/>
                <c:pt idx="0">
                  <c:v>4240</c:v>
                </c:pt>
                <c:pt idx="1">
                  <c:v>2199.0978179416725</c:v>
                </c:pt>
                <c:pt idx="2">
                  <c:v>1569.6000000000001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CA-45BB-B53B-78615FFFB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49265888"/>
        <c:axId val="1"/>
      </c:barChart>
      <c:catAx>
        <c:axId val="6492658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424242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 #,##0\ &quot;Fr.&quot;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424242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49265888"/>
        <c:crosses val="max"/>
        <c:crossBetween val="between"/>
        <c:majorUnit val="500"/>
        <c:minorUnit val="1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320268872416938"/>
          <c:y val="0.36050177432553726"/>
          <c:w val="0.13793115060205971"/>
          <c:h val="0.163009497955895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424242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424242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424242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Anteil der Pflanzenschutzkosten</a:t>
            </a:r>
          </a:p>
        </c:rich>
      </c:tx>
      <c:layout>
        <c:manualLayout>
          <c:xMode val="edge"/>
          <c:yMode val="edge"/>
          <c:x val="0.33925432738629191"/>
          <c:y val="3.3847982742615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977364288014755"/>
          <c:y val="0.16663506012411941"/>
          <c:w val="0.59305714861313086"/>
          <c:h val="0.7055953327130681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'Standard Ertragsphase'!$B$146</c:f>
              <c:strCache>
                <c:ptCount val="1"/>
                <c:pt idx="0">
                  <c:v>Standard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'Standard Ertragsphase'!$A$143:$A$144</c:f>
              <c:strCache>
                <c:ptCount val="2"/>
                <c:pt idx="0">
                  <c:v>Total Pflanzenschutz</c:v>
                </c:pt>
                <c:pt idx="1">
                  <c:v>übrige Produktionskosten</c:v>
                </c:pt>
              </c:strCache>
            </c:strRef>
          </c:cat>
          <c:val>
            <c:numRef>
              <c:f>'Standard Ertragsphase'!$B$143:$B$144</c:f>
              <c:numCache>
                <c:formatCode>\ #,##0\ "Fr."</c:formatCode>
                <c:ptCount val="2"/>
                <c:pt idx="0">
                  <c:v>8008.6</c:v>
                </c:pt>
                <c:pt idx="1">
                  <c:v>31123.546989881164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26-404C-90E4-5DF1DD683E00}"/>
            </c:ext>
          </c:extLst>
        </c:ser>
        <c:ser>
          <c:idx val="1"/>
          <c:order val="1"/>
          <c:tx>
            <c:strRef>
              <c:f>'Variante Ertragsphase'!$B$147</c:f>
              <c:strCache>
                <c:ptCount val="1"/>
                <c:pt idx="0">
                  <c:v>Variante</c:v>
                </c:pt>
              </c:strCache>
            </c:strRef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'Standard Ertragsphase'!$A$143:$A$144</c:f>
              <c:strCache>
                <c:ptCount val="2"/>
                <c:pt idx="0">
                  <c:v>Total Pflanzenschutz</c:v>
                </c:pt>
                <c:pt idx="1">
                  <c:v>übrige Produktionskosten</c:v>
                </c:pt>
              </c:strCache>
            </c:strRef>
          </c:cat>
          <c:val>
            <c:numRef>
              <c:f>'Variante Ertragsphase'!$B$144:$B$145</c:f>
              <c:numCache>
                <c:formatCode>\ #,##0\ "Fr."</c:formatCode>
                <c:ptCount val="2"/>
                <c:pt idx="0">
                  <c:v>8008.6978179416728</c:v>
                </c:pt>
                <c:pt idx="1">
                  <c:v>31123.700693954397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26-404C-90E4-5DF1DD683E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9265560"/>
        <c:axId val="1"/>
      </c:barChart>
      <c:catAx>
        <c:axId val="6492655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424242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 #,##0\ &quot;Fr.&quot;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424242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49265560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404013627147414"/>
          <c:y val="0.37246963562753044"/>
          <c:w val="0.12610848055045459"/>
          <c:h val="0.21457489878542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424242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424242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73</xdr:row>
      <xdr:rowOff>114300</xdr:rowOff>
    </xdr:from>
    <xdr:to>
      <xdr:col>5</xdr:col>
      <xdr:colOff>845820</xdr:colOff>
      <xdr:row>85</xdr:row>
      <xdr:rowOff>15240</xdr:rowOff>
    </xdr:to>
    <xdr:graphicFrame macro="">
      <xdr:nvGraphicFramePr>
        <xdr:cNvPr id="2198182" name="Chart 72">
          <a:extLst>
            <a:ext uri="{FF2B5EF4-FFF2-40B4-BE49-F238E27FC236}">
              <a16:creationId xmlns:a16="http://schemas.microsoft.com/office/drawing/2014/main" id="{00000000-0008-0000-0000-0000A68A2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160020</xdr:colOff>
      <xdr:row>9</xdr:row>
      <xdr:rowOff>114300</xdr:rowOff>
    </xdr:from>
    <xdr:to>
      <xdr:col>10</xdr:col>
      <xdr:colOff>83820</xdr:colOff>
      <xdr:row>28</xdr:row>
      <xdr:rowOff>137160</xdr:rowOff>
    </xdr:to>
    <xdr:graphicFrame macro="">
      <xdr:nvGraphicFramePr>
        <xdr:cNvPr id="2198183" name="Chart 31">
          <a:extLst>
            <a:ext uri="{FF2B5EF4-FFF2-40B4-BE49-F238E27FC236}">
              <a16:creationId xmlns:a16="http://schemas.microsoft.com/office/drawing/2014/main" id="{00000000-0008-0000-0000-0000A78A2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3655</xdr:colOff>
      <xdr:row>5</xdr:row>
      <xdr:rowOff>15553</xdr:rowOff>
    </xdr:from>
    <xdr:to>
      <xdr:col>0</xdr:col>
      <xdr:colOff>979715</xdr:colOff>
      <xdr:row>7</xdr:row>
      <xdr:rowOff>128881</xdr:rowOff>
    </xdr:to>
    <xdr:sp macro="" textlink="">
      <xdr:nvSpPr>
        <xdr:cNvPr id="22598" name="Text Box 70">
          <a:extLst>
            <a:ext uri="{FF2B5EF4-FFF2-40B4-BE49-F238E27FC236}">
              <a16:creationId xmlns:a16="http://schemas.microsoft.com/office/drawing/2014/main" id="{00000000-0008-0000-0000-000046580000}"/>
            </a:ext>
          </a:extLst>
        </xdr:cNvPr>
        <xdr:cNvSpPr txBox="1">
          <a:spLocks noChangeArrowheads="1"/>
        </xdr:cNvSpPr>
      </xdr:nvSpPr>
      <xdr:spPr bwMode="auto">
        <a:xfrm>
          <a:off x="3655" y="1422920"/>
          <a:ext cx="976060" cy="8131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de-CH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CH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Preis</a:t>
          </a:r>
        </a:p>
      </xdr:txBody>
    </xdr:sp>
    <xdr:clientData/>
  </xdr:twoCellAnchor>
  <xdr:twoCellAnchor>
    <xdr:from>
      <xdr:col>0</xdr:col>
      <xdr:colOff>28574</xdr:colOff>
      <xdr:row>8</xdr:row>
      <xdr:rowOff>19050</xdr:rowOff>
    </xdr:from>
    <xdr:to>
      <xdr:col>0</xdr:col>
      <xdr:colOff>979713</xdr:colOff>
      <xdr:row>10</xdr:row>
      <xdr:rowOff>144196</xdr:rowOff>
    </xdr:to>
    <xdr:sp macro="" textlink="">
      <xdr:nvSpPr>
        <xdr:cNvPr id="22599" name="Text Box 71">
          <a:extLst>
            <a:ext uri="{FF2B5EF4-FFF2-40B4-BE49-F238E27FC236}">
              <a16:creationId xmlns:a16="http://schemas.microsoft.com/office/drawing/2014/main" id="{00000000-0008-0000-0000-000047580000}"/>
            </a:ext>
          </a:extLst>
        </xdr:cNvPr>
        <xdr:cNvSpPr txBox="1">
          <a:spLocks noChangeArrowheads="1"/>
        </xdr:cNvSpPr>
      </xdr:nvSpPr>
      <xdr:spPr bwMode="auto">
        <a:xfrm>
          <a:off x="28574" y="2390580"/>
          <a:ext cx="951139" cy="66943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de-CH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CH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Sortier       -ergebnis</a:t>
          </a:r>
        </a:p>
      </xdr:txBody>
    </xdr:sp>
    <xdr:clientData/>
  </xdr:twoCellAnchor>
  <xdr:twoCellAnchor>
    <xdr:from>
      <xdr:col>0</xdr:col>
      <xdr:colOff>83820</xdr:colOff>
      <xdr:row>115</xdr:row>
      <xdr:rowOff>0</xdr:rowOff>
    </xdr:from>
    <xdr:to>
      <xdr:col>5</xdr:col>
      <xdr:colOff>845820</xdr:colOff>
      <xdr:row>133</xdr:row>
      <xdr:rowOff>716280</xdr:rowOff>
    </xdr:to>
    <xdr:graphicFrame macro="">
      <xdr:nvGraphicFramePr>
        <xdr:cNvPr id="2198186" name="Chart 58">
          <a:extLst>
            <a:ext uri="{FF2B5EF4-FFF2-40B4-BE49-F238E27FC236}">
              <a16:creationId xmlns:a16="http://schemas.microsoft.com/office/drawing/2014/main" id="{00000000-0008-0000-0000-0000AA8A2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1310640</xdr:colOff>
      <xdr:row>60</xdr:row>
      <xdr:rowOff>365760</xdr:rowOff>
    </xdr:from>
    <xdr:to>
      <xdr:col>5</xdr:col>
      <xdr:colOff>822960</xdr:colOff>
      <xdr:row>61</xdr:row>
      <xdr:rowOff>251460</xdr:rowOff>
    </xdr:to>
    <xdr:sp macro="" textlink="">
      <xdr:nvSpPr>
        <xdr:cNvPr id="2198187" name="Line 83">
          <a:extLst>
            <a:ext uri="{FF2B5EF4-FFF2-40B4-BE49-F238E27FC236}">
              <a16:creationId xmlns:a16="http://schemas.microsoft.com/office/drawing/2014/main" id="{00000000-0008-0000-0000-0000AB8A2100}"/>
            </a:ext>
          </a:extLst>
        </xdr:cNvPr>
        <xdr:cNvSpPr>
          <a:spLocks noChangeShapeType="1"/>
        </xdr:cNvSpPr>
      </xdr:nvSpPr>
      <xdr:spPr bwMode="auto">
        <a:xfrm flipV="1">
          <a:off x="6751320" y="19751040"/>
          <a:ext cx="1028700" cy="66294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1249680</xdr:colOff>
      <xdr:row>60</xdr:row>
      <xdr:rowOff>190500</xdr:rowOff>
    </xdr:from>
    <xdr:to>
      <xdr:col>5</xdr:col>
      <xdr:colOff>800100</xdr:colOff>
      <xdr:row>60</xdr:row>
      <xdr:rowOff>190500</xdr:rowOff>
    </xdr:to>
    <xdr:sp macro="" textlink="">
      <xdr:nvSpPr>
        <xdr:cNvPr id="2198188" name="Line 84">
          <a:extLst>
            <a:ext uri="{FF2B5EF4-FFF2-40B4-BE49-F238E27FC236}">
              <a16:creationId xmlns:a16="http://schemas.microsoft.com/office/drawing/2014/main" id="{00000000-0008-0000-0000-0000AC8A2100}"/>
            </a:ext>
          </a:extLst>
        </xdr:cNvPr>
        <xdr:cNvSpPr>
          <a:spLocks noChangeShapeType="1"/>
        </xdr:cNvSpPr>
      </xdr:nvSpPr>
      <xdr:spPr bwMode="auto">
        <a:xfrm>
          <a:off x="6690360" y="19575780"/>
          <a:ext cx="106680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1386840</xdr:colOff>
      <xdr:row>63</xdr:row>
      <xdr:rowOff>304800</xdr:rowOff>
    </xdr:from>
    <xdr:to>
      <xdr:col>5</xdr:col>
      <xdr:colOff>822960</xdr:colOff>
      <xdr:row>63</xdr:row>
      <xdr:rowOff>304800</xdr:rowOff>
    </xdr:to>
    <xdr:sp macro="" textlink="">
      <xdr:nvSpPr>
        <xdr:cNvPr id="2198189" name="Line 86">
          <a:extLst>
            <a:ext uri="{FF2B5EF4-FFF2-40B4-BE49-F238E27FC236}">
              <a16:creationId xmlns:a16="http://schemas.microsoft.com/office/drawing/2014/main" id="{00000000-0008-0000-0000-0000AD8A2100}"/>
            </a:ext>
          </a:extLst>
        </xdr:cNvPr>
        <xdr:cNvSpPr>
          <a:spLocks noChangeShapeType="1"/>
        </xdr:cNvSpPr>
      </xdr:nvSpPr>
      <xdr:spPr bwMode="auto">
        <a:xfrm>
          <a:off x="6827520" y="21336000"/>
          <a:ext cx="95250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1356360</xdr:colOff>
      <xdr:row>63</xdr:row>
      <xdr:rowOff>457200</xdr:rowOff>
    </xdr:from>
    <xdr:to>
      <xdr:col>5</xdr:col>
      <xdr:colOff>777240</xdr:colOff>
      <xdr:row>64</xdr:row>
      <xdr:rowOff>114300</xdr:rowOff>
    </xdr:to>
    <xdr:sp macro="" textlink="">
      <xdr:nvSpPr>
        <xdr:cNvPr id="2198190" name="Line 87">
          <a:extLst>
            <a:ext uri="{FF2B5EF4-FFF2-40B4-BE49-F238E27FC236}">
              <a16:creationId xmlns:a16="http://schemas.microsoft.com/office/drawing/2014/main" id="{00000000-0008-0000-0000-0000AE8A2100}"/>
            </a:ext>
          </a:extLst>
        </xdr:cNvPr>
        <xdr:cNvSpPr>
          <a:spLocks noChangeShapeType="1"/>
        </xdr:cNvSpPr>
      </xdr:nvSpPr>
      <xdr:spPr bwMode="auto">
        <a:xfrm flipV="1">
          <a:off x="6797040" y="21488400"/>
          <a:ext cx="937260" cy="53340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1120140</xdr:colOff>
      <xdr:row>42</xdr:row>
      <xdr:rowOff>396240</xdr:rowOff>
    </xdr:from>
    <xdr:to>
      <xdr:col>5</xdr:col>
      <xdr:colOff>822960</xdr:colOff>
      <xdr:row>48</xdr:row>
      <xdr:rowOff>304800</xdr:rowOff>
    </xdr:to>
    <xdr:sp macro="" textlink="">
      <xdr:nvSpPr>
        <xdr:cNvPr id="2198191" name="Line 88">
          <a:extLst>
            <a:ext uri="{FF2B5EF4-FFF2-40B4-BE49-F238E27FC236}">
              <a16:creationId xmlns:a16="http://schemas.microsoft.com/office/drawing/2014/main" id="{00000000-0008-0000-0000-0000AF8A2100}"/>
            </a:ext>
          </a:extLst>
        </xdr:cNvPr>
        <xdr:cNvSpPr>
          <a:spLocks noChangeShapeType="1"/>
        </xdr:cNvSpPr>
      </xdr:nvSpPr>
      <xdr:spPr bwMode="auto">
        <a:xfrm flipV="1">
          <a:off x="6560820" y="12809220"/>
          <a:ext cx="1219200" cy="189738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434340</xdr:colOff>
      <xdr:row>35</xdr:row>
      <xdr:rowOff>190500</xdr:rowOff>
    </xdr:from>
    <xdr:to>
      <xdr:col>5</xdr:col>
      <xdr:colOff>883920</xdr:colOff>
      <xdr:row>35</xdr:row>
      <xdr:rowOff>190500</xdr:rowOff>
    </xdr:to>
    <xdr:sp macro="" textlink="">
      <xdr:nvSpPr>
        <xdr:cNvPr id="2198192" name="Line 89">
          <a:extLst>
            <a:ext uri="{FF2B5EF4-FFF2-40B4-BE49-F238E27FC236}">
              <a16:creationId xmlns:a16="http://schemas.microsoft.com/office/drawing/2014/main" id="{00000000-0008-0000-0000-0000B08A2100}"/>
            </a:ext>
          </a:extLst>
        </xdr:cNvPr>
        <xdr:cNvSpPr>
          <a:spLocks noChangeShapeType="1"/>
        </xdr:cNvSpPr>
      </xdr:nvSpPr>
      <xdr:spPr bwMode="auto">
        <a:xfrm flipH="1">
          <a:off x="7391400" y="10668000"/>
          <a:ext cx="44958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449580</xdr:colOff>
      <xdr:row>35</xdr:row>
      <xdr:rowOff>190500</xdr:rowOff>
    </xdr:from>
    <xdr:to>
      <xdr:col>5</xdr:col>
      <xdr:colOff>845820</xdr:colOff>
      <xdr:row>42</xdr:row>
      <xdr:rowOff>228600</xdr:rowOff>
    </xdr:to>
    <xdr:sp macro="" textlink="">
      <xdr:nvSpPr>
        <xdr:cNvPr id="2198193" name="Line 90">
          <a:extLst>
            <a:ext uri="{FF2B5EF4-FFF2-40B4-BE49-F238E27FC236}">
              <a16:creationId xmlns:a16="http://schemas.microsoft.com/office/drawing/2014/main" id="{00000000-0008-0000-0000-0000B18A2100}"/>
            </a:ext>
          </a:extLst>
        </xdr:cNvPr>
        <xdr:cNvSpPr>
          <a:spLocks noChangeShapeType="1"/>
        </xdr:cNvSpPr>
      </xdr:nvSpPr>
      <xdr:spPr bwMode="auto">
        <a:xfrm>
          <a:off x="7406640" y="10668000"/>
          <a:ext cx="396240" cy="197358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68580</xdr:colOff>
      <xdr:row>259</xdr:row>
      <xdr:rowOff>121920</xdr:rowOff>
    </xdr:from>
    <xdr:to>
      <xdr:col>4</xdr:col>
      <xdr:colOff>22860</xdr:colOff>
      <xdr:row>313</xdr:row>
      <xdr:rowOff>91440</xdr:rowOff>
    </xdr:to>
    <xdr:graphicFrame macro="">
      <xdr:nvGraphicFramePr>
        <xdr:cNvPr id="2198194" name="Chart 28">
          <a:extLst>
            <a:ext uri="{FF2B5EF4-FFF2-40B4-BE49-F238E27FC236}">
              <a16:creationId xmlns:a16="http://schemas.microsoft.com/office/drawing/2014/main" id="{00000000-0008-0000-0000-0000B28A2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22860</xdr:colOff>
      <xdr:row>259</xdr:row>
      <xdr:rowOff>129540</xdr:rowOff>
    </xdr:from>
    <xdr:to>
      <xdr:col>9</xdr:col>
      <xdr:colOff>1623060</xdr:colOff>
      <xdr:row>313</xdr:row>
      <xdr:rowOff>68580</xdr:rowOff>
    </xdr:to>
    <xdr:graphicFrame macro="">
      <xdr:nvGraphicFramePr>
        <xdr:cNvPr id="2198195" name="Chart 30">
          <a:extLst>
            <a:ext uri="{FF2B5EF4-FFF2-40B4-BE49-F238E27FC236}">
              <a16:creationId xmlns:a16="http://schemas.microsoft.com/office/drawing/2014/main" id="{00000000-0008-0000-0000-0000B38A2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22860</xdr:colOff>
      <xdr:row>33</xdr:row>
      <xdr:rowOff>144780</xdr:rowOff>
    </xdr:from>
    <xdr:to>
      <xdr:col>5</xdr:col>
      <xdr:colOff>868680</xdr:colOff>
      <xdr:row>33</xdr:row>
      <xdr:rowOff>807720</xdr:rowOff>
    </xdr:to>
    <xdr:grpSp>
      <xdr:nvGrpSpPr>
        <xdr:cNvPr id="2198196" name="Group 111">
          <a:extLst>
            <a:ext uri="{FF2B5EF4-FFF2-40B4-BE49-F238E27FC236}">
              <a16:creationId xmlns:a16="http://schemas.microsoft.com/office/drawing/2014/main" id="{00000000-0008-0000-0000-0000B48A2100}"/>
            </a:ext>
          </a:extLst>
        </xdr:cNvPr>
        <xdr:cNvGrpSpPr>
          <a:grpSpLocks/>
        </xdr:cNvGrpSpPr>
      </xdr:nvGrpSpPr>
      <xdr:grpSpPr bwMode="auto">
        <a:xfrm>
          <a:off x="6037217" y="9411244"/>
          <a:ext cx="954677" cy="662940"/>
          <a:chOff x="698" y="998"/>
          <a:chExt cx="102" cy="70"/>
        </a:xfrm>
      </xdr:grpSpPr>
      <xdr:sp macro="" textlink="">
        <xdr:nvSpPr>
          <xdr:cNvPr id="2198240" name="AutoShape 101">
            <a:extLst>
              <a:ext uri="{FF2B5EF4-FFF2-40B4-BE49-F238E27FC236}">
                <a16:creationId xmlns:a16="http://schemas.microsoft.com/office/drawing/2014/main" id="{00000000-0008-0000-0000-0000E08A2100}"/>
              </a:ext>
            </a:extLst>
          </xdr:cNvPr>
          <xdr:cNvSpPr>
            <a:spLocks noChangeArrowheads="1"/>
          </xdr:cNvSpPr>
        </xdr:nvSpPr>
        <xdr:spPr bwMode="auto">
          <a:xfrm>
            <a:off x="698" y="998"/>
            <a:ext cx="102" cy="70"/>
          </a:xfrm>
          <a:prstGeom prst="flowChartDecision">
            <a:avLst/>
          </a:prstGeom>
          <a:solidFill>
            <a:srgbClr val="FFFF99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2628" name="Text Box 100">
            <a:extLst>
              <a:ext uri="{FF2B5EF4-FFF2-40B4-BE49-F238E27FC236}">
                <a16:creationId xmlns:a16="http://schemas.microsoft.com/office/drawing/2014/main" id="{00000000-0008-0000-0000-0000645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4" y="1014"/>
            <a:ext cx="30" cy="31"/>
          </a:xfrm>
          <a:prstGeom prst="rect">
            <a:avLst/>
          </a:prstGeom>
          <a:solidFill>
            <a:srgbClr val="FFFF99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45720" tIns="41148" rIns="45720" bIns="0" anchor="t" upright="1"/>
          <a:lstStyle/>
          <a:p>
            <a:pPr algn="ctr" rtl="0">
              <a:defRPr sz="1000"/>
            </a:pPr>
            <a:r>
              <a:rPr lang="de-CH" sz="2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&gt;</a:t>
            </a:r>
          </a:p>
        </xdr:txBody>
      </xdr:sp>
    </xdr:grpSp>
    <xdr:clientData/>
  </xdr:twoCellAnchor>
  <xdr:twoCellAnchor editAs="oneCell">
    <xdr:from>
      <xdr:col>5</xdr:col>
      <xdr:colOff>361950</xdr:colOff>
      <xdr:row>31</xdr:row>
      <xdr:rowOff>38100</xdr:rowOff>
    </xdr:from>
    <xdr:to>
      <xdr:col>6</xdr:col>
      <xdr:colOff>1238276</xdr:colOff>
      <xdr:row>32</xdr:row>
      <xdr:rowOff>3</xdr:rowOff>
    </xdr:to>
    <xdr:sp macro="" textlink="">
      <xdr:nvSpPr>
        <xdr:cNvPr id="22630" name="AutoShape 102">
          <a:extLst>
            <a:ext uri="{FF2B5EF4-FFF2-40B4-BE49-F238E27FC236}">
              <a16:creationId xmlns:a16="http://schemas.microsoft.com/office/drawing/2014/main" id="{00000000-0008-0000-0000-000066580000}"/>
            </a:ext>
          </a:extLst>
        </xdr:cNvPr>
        <xdr:cNvSpPr>
          <a:spLocks/>
        </xdr:cNvSpPr>
      </xdr:nvSpPr>
      <xdr:spPr bwMode="auto">
        <a:xfrm flipV="1">
          <a:off x="7115175" y="9105900"/>
          <a:ext cx="1724025" cy="381000"/>
        </a:xfrm>
        <a:prstGeom prst="borderCallout1">
          <a:avLst>
            <a:gd name="adj1" fmla="val 70000"/>
            <a:gd name="adj2" fmla="val -4421"/>
            <a:gd name="adj3" fmla="val -70000"/>
            <a:gd name="adj4" fmla="val -607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 type="arrow" w="med" len="med"/>
        </a:ln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Leistung muss Betriebsminimum decken</a:t>
          </a:r>
        </a:p>
      </xdr:txBody>
    </xdr:sp>
    <xdr:clientData/>
  </xdr:twoCellAnchor>
  <xdr:twoCellAnchor>
    <xdr:from>
      <xdr:col>4</xdr:col>
      <xdr:colOff>22860</xdr:colOff>
      <xdr:row>48</xdr:row>
      <xdr:rowOff>784860</xdr:rowOff>
    </xdr:from>
    <xdr:to>
      <xdr:col>5</xdr:col>
      <xdr:colOff>868680</xdr:colOff>
      <xdr:row>50</xdr:row>
      <xdr:rowOff>76200</xdr:rowOff>
    </xdr:to>
    <xdr:grpSp>
      <xdr:nvGrpSpPr>
        <xdr:cNvPr id="2198198" name="Group 110">
          <a:extLst>
            <a:ext uri="{FF2B5EF4-FFF2-40B4-BE49-F238E27FC236}">
              <a16:creationId xmlns:a16="http://schemas.microsoft.com/office/drawing/2014/main" id="{00000000-0008-0000-0000-0000B68A2100}"/>
            </a:ext>
          </a:extLst>
        </xdr:cNvPr>
        <xdr:cNvGrpSpPr>
          <a:grpSpLocks/>
        </xdr:cNvGrpSpPr>
      </xdr:nvGrpSpPr>
      <xdr:grpSpPr bwMode="auto">
        <a:xfrm>
          <a:off x="6037217" y="15194824"/>
          <a:ext cx="954677" cy="652055"/>
          <a:chOff x="700" y="1603"/>
          <a:chExt cx="97" cy="70"/>
        </a:xfrm>
      </xdr:grpSpPr>
      <xdr:sp macro="" textlink="">
        <xdr:nvSpPr>
          <xdr:cNvPr id="2198238" name="AutoShape 104">
            <a:extLst>
              <a:ext uri="{FF2B5EF4-FFF2-40B4-BE49-F238E27FC236}">
                <a16:creationId xmlns:a16="http://schemas.microsoft.com/office/drawing/2014/main" id="{00000000-0008-0000-0000-0000DE8A2100}"/>
              </a:ext>
            </a:extLst>
          </xdr:cNvPr>
          <xdr:cNvSpPr>
            <a:spLocks noChangeArrowheads="1"/>
          </xdr:cNvSpPr>
        </xdr:nvSpPr>
        <xdr:spPr bwMode="auto">
          <a:xfrm>
            <a:off x="700" y="1603"/>
            <a:ext cx="97" cy="70"/>
          </a:xfrm>
          <a:prstGeom prst="flowChartDecision">
            <a:avLst/>
          </a:prstGeom>
          <a:solidFill>
            <a:srgbClr val="FFFF99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2633" name="Text Box 105">
            <a:extLst>
              <a:ext uri="{FF2B5EF4-FFF2-40B4-BE49-F238E27FC236}">
                <a16:creationId xmlns:a16="http://schemas.microsoft.com/office/drawing/2014/main" id="{00000000-0008-0000-0000-0000695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0" y="1619"/>
            <a:ext cx="35" cy="31"/>
          </a:xfrm>
          <a:prstGeom prst="rect">
            <a:avLst/>
          </a:prstGeom>
          <a:solidFill>
            <a:srgbClr val="FFFF99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45720" tIns="41148" rIns="45720" bIns="0" anchor="t" upright="1"/>
          <a:lstStyle/>
          <a:p>
            <a:pPr algn="ctr" rtl="0">
              <a:defRPr sz="1000"/>
            </a:pPr>
            <a:r>
              <a:rPr lang="de-CH" sz="2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&lt;</a:t>
            </a:r>
          </a:p>
        </xdr:txBody>
      </xdr:sp>
    </xdr:grpSp>
    <xdr:clientData/>
  </xdr:twoCellAnchor>
  <xdr:twoCellAnchor editAs="oneCell">
    <xdr:from>
      <xdr:col>5</xdr:col>
      <xdr:colOff>327025</xdr:colOff>
      <xdr:row>48</xdr:row>
      <xdr:rowOff>207645</xdr:rowOff>
    </xdr:from>
    <xdr:to>
      <xdr:col>6</xdr:col>
      <xdr:colOff>1085269</xdr:colOff>
      <xdr:row>48</xdr:row>
      <xdr:rowOff>571539</xdr:rowOff>
    </xdr:to>
    <xdr:sp macro="" textlink="">
      <xdr:nvSpPr>
        <xdr:cNvPr id="22631" name="AutoShape 103">
          <a:extLst>
            <a:ext uri="{FF2B5EF4-FFF2-40B4-BE49-F238E27FC236}">
              <a16:creationId xmlns:a16="http://schemas.microsoft.com/office/drawing/2014/main" id="{00000000-0008-0000-0000-000067580000}"/>
            </a:ext>
          </a:extLst>
        </xdr:cNvPr>
        <xdr:cNvSpPr>
          <a:spLocks/>
        </xdr:cNvSpPr>
      </xdr:nvSpPr>
      <xdr:spPr bwMode="auto">
        <a:xfrm flipV="1">
          <a:off x="7086600" y="14906625"/>
          <a:ext cx="1581150" cy="371475"/>
        </a:xfrm>
        <a:prstGeom prst="borderCallout1">
          <a:avLst>
            <a:gd name="adj1" fmla="val 70000"/>
            <a:gd name="adj2" fmla="val -4819"/>
            <a:gd name="adj3" fmla="val -60000"/>
            <a:gd name="adj4" fmla="val -723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 type="arrow" w="med" len="med"/>
        </a:ln>
      </xdr:spPr>
      <xdr:txBody>
        <a:bodyPr vertOverflow="clip" wrap="square" lIns="27432" tIns="0" rIns="27432" bIns="18288" anchor="b" upright="1"/>
        <a:lstStyle/>
        <a:p>
          <a:pPr algn="ctr" rtl="0">
            <a:defRPr sz="1000"/>
          </a:pPr>
          <a:r>
            <a:rPr lang="de-CH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Cashflow sollte Abschreibung decken</a:t>
          </a:r>
        </a:p>
      </xdr:txBody>
    </xdr:sp>
    <xdr:clientData/>
  </xdr:twoCellAnchor>
  <xdr:twoCellAnchor>
    <xdr:from>
      <xdr:col>0</xdr:col>
      <xdr:colOff>38100</xdr:colOff>
      <xdr:row>87</xdr:row>
      <xdr:rowOff>99060</xdr:rowOff>
    </xdr:from>
    <xdr:to>
      <xdr:col>5</xdr:col>
      <xdr:colOff>845820</xdr:colOff>
      <xdr:row>97</xdr:row>
      <xdr:rowOff>121920</xdr:rowOff>
    </xdr:to>
    <xdr:graphicFrame macro="">
      <xdr:nvGraphicFramePr>
        <xdr:cNvPr id="2198200" name="Chart 124">
          <a:extLst>
            <a:ext uri="{FF2B5EF4-FFF2-40B4-BE49-F238E27FC236}">
              <a16:creationId xmlns:a16="http://schemas.microsoft.com/office/drawing/2014/main" id="{00000000-0008-0000-0000-0000B88A2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68580</xdr:colOff>
      <xdr:row>98</xdr:row>
      <xdr:rowOff>22860</xdr:rowOff>
    </xdr:from>
    <xdr:to>
      <xdr:col>5</xdr:col>
      <xdr:colOff>845820</xdr:colOff>
      <xdr:row>113</xdr:row>
      <xdr:rowOff>99060</xdr:rowOff>
    </xdr:to>
    <xdr:graphicFrame macro="">
      <xdr:nvGraphicFramePr>
        <xdr:cNvPr id="2198201" name="Chart 125">
          <a:extLst>
            <a:ext uri="{FF2B5EF4-FFF2-40B4-BE49-F238E27FC236}">
              <a16:creationId xmlns:a16="http://schemas.microsoft.com/office/drawing/2014/main" id="{00000000-0008-0000-0000-0000B98A2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68580</xdr:colOff>
      <xdr:row>180</xdr:row>
      <xdr:rowOff>144780</xdr:rowOff>
    </xdr:from>
    <xdr:to>
      <xdr:col>5</xdr:col>
      <xdr:colOff>845820</xdr:colOff>
      <xdr:row>205</xdr:row>
      <xdr:rowOff>0</xdr:rowOff>
    </xdr:to>
    <xdr:graphicFrame macro="">
      <xdr:nvGraphicFramePr>
        <xdr:cNvPr id="2198202" name="Chart 133">
          <a:extLst>
            <a:ext uri="{FF2B5EF4-FFF2-40B4-BE49-F238E27FC236}">
              <a16:creationId xmlns:a16="http://schemas.microsoft.com/office/drawing/2014/main" id="{00000000-0008-0000-0000-0000BA8A2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68580</xdr:colOff>
      <xdr:row>163</xdr:row>
      <xdr:rowOff>68580</xdr:rowOff>
    </xdr:from>
    <xdr:to>
      <xdr:col>5</xdr:col>
      <xdr:colOff>845820</xdr:colOff>
      <xdr:row>180</xdr:row>
      <xdr:rowOff>0</xdr:rowOff>
    </xdr:to>
    <xdr:graphicFrame macro="">
      <xdr:nvGraphicFramePr>
        <xdr:cNvPr id="2198203" name="Chart 135">
          <a:extLst>
            <a:ext uri="{FF2B5EF4-FFF2-40B4-BE49-F238E27FC236}">
              <a16:creationId xmlns:a16="http://schemas.microsoft.com/office/drawing/2014/main" id="{00000000-0008-0000-0000-0000BB8A2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83820</xdr:colOff>
      <xdr:row>207</xdr:row>
      <xdr:rowOff>121920</xdr:rowOff>
    </xdr:from>
    <xdr:to>
      <xdr:col>5</xdr:col>
      <xdr:colOff>777240</xdr:colOff>
      <xdr:row>229</xdr:row>
      <xdr:rowOff>68580</xdr:rowOff>
    </xdr:to>
    <xdr:graphicFrame macro="">
      <xdr:nvGraphicFramePr>
        <xdr:cNvPr id="2198204" name="Chart 136">
          <a:extLst>
            <a:ext uri="{FF2B5EF4-FFF2-40B4-BE49-F238E27FC236}">
              <a16:creationId xmlns:a16="http://schemas.microsoft.com/office/drawing/2014/main" id="{00000000-0008-0000-0000-0000BC8A2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68580</xdr:colOff>
      <xdr:row>229</xdr:row>
      <xdr:rowOff>144780</xdr:rowOff>
    </xdr:from>
    <xdr:to>
      <xdr:col>5</xdr:col>
      <xdr:colOff>792480</xdr:colOff>
      <xdr:row>254</xdr:row>
      <xdr:rowOff>129540</xdr:rowOff>
    </xdr:to>
    <xdr:graphicFrame macro="">
      <xdr:nvGraphicFramePr>
        <xdr:cNvPr id="2198205" name="Chart 137">
          <a:extLst>
            <a:ext uri="{FF2B5EF4-FFF2-40B4-BE49-F238E27FC236}">
              <a16:creationId xmlns:a16="http://schemas.microsoft.com/office/drawing/2014/main" id="{00000000-0008-0000-0000-0000BD8A2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30480</xdr:colOff>
      <xdr:row>135</xdr:row>
      <xdr:rowOff>38100</xdr:rowOff>
    </xdr:from>
    <xdr:to>
      <xdr:col>5</xdr:col>
      <xdr:colOff>777240</xdr:colOff>
      <xdr:row>161</xdr:row>
      <xdr:rowOff>91440</xdr:rowOff>
    </xdr:to>
    <xdr:graphicFrame macro="">
      <xdr:nvGraphicFramePr>
        <xdr:cNvPr id="2198206" name="Chart 151">
          <a:extLst>
            <a:ext uri="{FF2B5EF4-FFF2-40B4-BE49-F238E27FC236}">
              <a16:creationId xmlns:a16="http://schemas.microsoft.com/office/drawing/2014/main" id="{00000000-0008-0000-0000-0000BE8A2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7154</xdr:colOff>
      <xdr:row>5</xdr:row>
      <xdr:rowOff>7620</xdr:rowOff>
    </xdr:from>
    <xdr:to>
      <xdr:col>1</xdr:col>
      <xdr:colOff>1484657</xdr:colOff>
      <xdr:row>28</xdr:row>
      <xdr:rowOff>182880</xdr:rowOff>
    </xdr:to>
    <xdr:sp macro="" textlink="">
      <xdr:nvSpPr>
        <xdr:cNvPr id="2198207" name="Rectangle 360">
          <a:extLst>
            <a:ext uri="{FF2B5EF4-FFF2-40B4-BE49-F238E27FC236}">
              <a16:creationId xmlns:a16="http://schemas.microsoft.com/office/drawing/2014/main" id="{00000000-0008-0000-0000-0000BF8A2100}"/>
            </a:ext>
          </a:extLst>
        </xdr:cNvPr>
        <xdr:cNvSpPr>
          <a:spLocks noChangeArrowheads="1"/>
        </xdr:cNvSpPr>
      </xdr:nvSpPr>
      <xdr:spPr bwMode="auto">
        <a:xfrm>
          <a:off x="3280644" y="1508293"/>
          <a:ext cx="1477503" cy="6434546"/>
        </a:xfrm>
        <a:prstGeom prst="rect">
          <a:avLst/>
        </a:prstGeom>
        <a:noFill/>
        <a:ln w="38100">
          <a:solidFill>
            <a:srgbClr val="000080"/>
          </a:solidFill>
          <a:miter lim="800000"/>
          <a:headEnd/>
          <a:tailEnd/>
        </a:ln>
        <a:effectLst>
          <a:outerShdw sx="999" sy="999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5</xdr:row>
      <xdr:rowOff>7620</xdr:rowOff>
    </xdr:from>
    <xdr:to>
      <xdr:col>4</xdr:col>
      <xdr:colOff>0</xdr:colOff>
      <xdr:row>28</xdr:row>
      <xdr:rowOff>182880</xdr:rowOff>
    </xdr:to>
    <xdr:sp macro="" textlink="">
      <xdr:nvSpPr>
        <xdr:cNvPr id="2198208" name="Rectangle 361">
          <a:extLst>
            <a:ext uri="{FF2B5EF4-FFF2-40B4-BE49-F238E27FC236}">
              <a16:creationId xmlns:a16="http://schemas.microsoft.com/office/drawing/2014/main" id="{00000000-0008-0000-0000-0000C08A2100}"/>
            </a:ext>
          </a:extLst>
        </xdr:cNvPr>
        <xdr:cNvSpPr>
          <a:spLocks noChangeArrowheads="1"/>
        </xdr:cNvSpPr>
      </xdr:nvSpPr>
      <xdr:spPr bwMode="auto">
        <a:xfrm>
          <a:off x="5440680" y="1470660"/>
          <a:ext cx="1409700" cy="6469380"/>
        </a:xfrm>
        <a:prstGeom prst="rect">
          <a:avLst/>
        </a:prstGeom>
        <a:noFill/>
        <a:ln w="38100">
          <a:solidFill>
            <a:srgbClr val="339933"/>
          </a:solidFill>
          <a:miter lim="800000"/>
          <a:headEnd/>
          <a:tailEnd/>
        </a:ln>
        <a:effectLst>
          <a:outerShdw sx="999" sy="999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7775</xdr:colOff>
      <xdr:row>4</xdr:row>
      <xdr:rowOff>341811</xdr:rowOff>
    </xdr:from>
    <xdr:to>
      <xdr:col>7</xdr:col>
      <xdr:colOff>1426029</xdr:colOff>
      <xdr:row>8</xdr:row>
      <xdr:rowOff>334036</xdr:rowOff>
    </xdr:to>
    <xdr:sp macro="" textlink="">
      <xdr:nvSpPr>
        <xdr:cNvPr id="2198209" name="Rectangle 362">
          <a:extLst>
            <a:ext uri="{FF2B5EF4-FFF2-40B4-BE49-F238E27FC236}">
              <a16:creationId xmlns:a16="http://schemas.microsoft.com/office/drawing/2014/main" id="{00000000-0008-0000-0000-0000C18A2100}"/>
            </a:ext>
          </a:extLst>
        </xdr:cNvPr>
        <xdr:cNvSpPr>
          <a:spLocks noChangeArrowheads="1"/>
        </xdr:cNvSpPr>
      </xdr:nvSpPr>
      <xdr:spPr bwMode="auto">
        <a:xfrm>
          <a:off x="9392816" y="1407055"/>
          <a:ext cx="1418254" cy="1298511"/>
        </a:xfrm>
        <a:prstGeom prst="rect">
          <a:avLst/>
        </a:prstGeom>
        <a:noFill/>
        <a:ln w="38100">
          <a:solidFill>
            <a:srgbClr val="000080"/>
          </a:solidFill>
          <a:miter lim="800000"/>
          <a:headEnd/>
          <a:tailEnd/>
        </a:ln>
        <a:effectLst>
          <a:outerShdw sx="999" sy="999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15552</xdr:colOff>
      <xdr:row>5</xdr:row>
      <xdr:rowOff>7620</xdr:rowOff>
    </xdr:from>
    <xdr:to>
      <xdr:col>10</xdr:col>
      <xdr:colOff>2</xdr:colOff>
      <xdr:row>9</xdr:row>
      <xdr:rowOff>0</xdr:rowOff>
    </xdr:to>
    <xdr:sp macro="" textlink="">
      <xdr:nvSpPr>
        <xdr:cNvPr id="2198210" name="Rectangle 363">
          <a:extLst>
            <a:ext uri="{FF2B5EF4-FFF2-40B4-BE49-F238E27FC236}">
              <a16:creationId xmlns:a16="http://schemas.microsoft.com/office/drawing/2014/main" id="{00000000-0008-0000-0000-0000C28A2100}"/>
            </a:ext>
          </a:extLst>
        </xdr:cNvPr>
        <xdr:cNvSpPr>
          <a:spLocks noChangeArrowheads="1"/>
        </xdr:cNvSpPr>
      </xdr:nvSpPr>
      <xdr:spPr bwMode="auto">
        <a:xfrm>
          <a:off x="11593286" y="1414987"/>
          <a:ext cx="1446246" cy="1290890"/>
        </a:xfrm>
        <a:prstGeom prst="rect">
          <a:avLst/>
        </a:prstGeom>
        <a:noFill/>
        <a:ln w="38100">
          <a:solidFill>
            <a:srgbClr val="339933"/>
          </a:solidFill>
          <a:miter lim="800000"/>
          <a:headEnd/>
          <a:tailEnd/>
        </a:ln>
        <a:effectLst>
          <a:outerShdw sx="999" sy="999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22860</xdr:colOff>
      <xdr:row>33</xdr:row>
      <xdr:rowOff>0</xdr:rowOff>
    </xdr:from>
    <xdr:to>
      <xdr:col>2</xdr:col>
      <xdr:colOff>45720</xdr:colOff>
      <xdr:row>51</xdr:row>
      <xdr:rowOff>30480</xdr:rowOff>
    </xdr:to>
    <xdr:sp macro="" textlink="">
      <xdr:nvSpPr>
        <xdr:cNvPr id="2198211" name="Rectangle 364">
          <a:extLst>
            <a:ext uri="{FF2B5EF4-FFF2-40B4-BE49-F238E27FC236}">
              <a16:creationId xmlns:a16="http://schemas.microsoft.com/office/drawing/2014/main" id="{00000000-0008-0000-0000-0000C38A2100}"/>
            </a:ext>
          </a:extLst>
        </xdr:cNvPr>
        <xdr:cNvSpPr>
          <a:spLocks noChangeArrowheads="1"/>
        </xdr:cNvSpPr>
      </xdr:nvSpPr>
      <xdr:spPr bwMode="auto">
        <a:xfrm>
          <a:off x="3200400" y="9311640"/>
          <a:ext cx="1463040" cy="6758940"/>
        </a:xfrm>
        <a:prstGeom prst="rect">
          <a:avLst/>
        </a:prstGeom>
        <a:noFill/>
        <a:ln w="38100">
          <a:solidFill>
            <a:srgbClr val="000080"/>
          </a:solidFill>
          <a:miter lim="800000"/>
          <a:headEnd/>
          <a:tailEnd/>
        </a:ln>
        <a:effectLst>
          <a:outerShdw sx="999" sy="999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32</xdr:row>
      <xdr:rowOff>22860</xdr:rowOff>
    </xdr:from>
    <xdr:to>
      <xdr:col>8</xdr:col>
      <xdr:colOff>0</xdr:colOff>
      <xdr:row>49</xdr:row>
      <xdr:rowOff>556260</xdr:rowOff>
    </xdr:to>
    <xdr:sp macro="" textlink="">
      <xdr:nvSpPr>
        <xdr:cNvPr id="2198212" name="Rectangle 365">
          <a:extLst>
            <a:ext uri="{FF2B5EF4-FFF2-40B4-BE49-F238E27FC236}">
              <a16:creationId xmlns:a16="http://schemas.microsoft.com/office/drawing/2014/main" id="{00000000-0008-0000-0000-0000C48A2100}"/>
            </a:ext>
          </a:extLst>
        </xdr:cNvPr>
        <xdr:cNvSpPr>
          <a:spLocks noChangeArrowheads="1"/>
        </xdr:cNvSpPr>
      </xdr:nvSpPr>
      <xdr:spPr bwMode="auto">
        <a:xfrm>
          <a:off x="9768840" y="9250680"/>
          <a:ext cx="1394460" cy="6507480"/>
        </a:xfrm>
        <a:prstGeom prst="rect">
          <a:avLst/>
        </a:prstGeom>
        <a:noFill/>
        <a:ln w="38100">
          <a:solidFill>
            <a:srgbClr val="000080"/>
          </a:solidFill>
          <a:miter lim="800000"/>
          <a:headEnd/>
          <a:tailEnd/>
        </a:ln>
        <a:effectLst>
          <a:outerShdw sx="999" sy="999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32</xdr:row>
      <xdr:rowOff>60960</xdr:rowOff>
    </xdr:from>
    <xdr:to>
      <xdr:col>4</xdr:col>
      <xdr:colOff>0</xdr:colOff>
      <xdr:row>51</xdr:row>
      <xdr:rowOff>7620</xdr:rowOff>
    </xdr:to>
    <xdr:sp macro="" textlink="">
      <xdr:nvSpPr>
        <xdr:cNvPr id="2198213" name="Rectangle 366">
          <a:extLst>
            <a:ext uri="{FF2B5EF4-FFF2-40B4-BE49-F238E27FC236}">
              <a16:creationId xmlns:a16="http://schemas.microsoft.com/office/drawing/2014/main" id="{00000000-0008-0000-0000-0000C58A2100}"/>
            </a:ext>
          </a:extLst>
        </xdr:cNvPr>
        <xdr:cNvSpPr>
          <a:spLocks noChangeArrowheads="1"/>
        </xdr:cNvSpPr>
      </xdr:nvSpPr>
      <xdr:spPr bwMode="auto">
        <a:xfrm>
          <a:off x="5440680" y="9288780"/>
          <a:ext cx="1409700" cy="6758940"/>
        </a:xfrm>
        <a:prstGeom prst="rect">
          <a:avLst/>
        </a:prstGeom>
        <a:noFill/>
        <a:ln w="38100">
          <a:solidFill>
            <a:srgbClr val="339933"/>
          </a:solidFill>
          <a:miter lim="800000"/>
          <a:headEnd/>
          <a:tailEnd/>
        </a:ln>
        <a:effectLst>
          <a:outerShdw sx="999" sy="999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33</xdr:row>
      <xdr:rowOff>7620</xdr:rowOff>
    </xdr:from>
    <xdr:to>
      <xdr:col>9</xdr:col>
      <xdr:colOff>1653540</xdr:colOff>
      <xdr:row>50</xdr:row>
      <xdr:rowOff>15240</xdr:rowOff>
    </xdr:to>
    <xdr:sp macro="" textlink="">
      <xdr:nvSpPr>
        <xdr:cNvPr id="2198214" name="Rectangle 367">
          <a:extLst>
            <a:ext uri="{FF2B5EF4-FFF2-40B4-BE49-F238E27FC236}">
              <a16:creationId xmlns:a16="http://schemas.microsoft.com/office/drawing/2014/main" id="{00000000-0008-0000-0000-0000C68A2100}"/>
            </a:ext>
          </a:extLst>
        </xdr:cNvPr>
        <xdr:cNvSpPr>
          <a:spLocks noChangeArrowheads="1"/>
        </xdr:cNvSpPr>
      </xdr:nvSpPr>
      <xdr:spPr bwMode="auto">
        <a:xfrm>
          <a:off x="11894820" y="9319260"/>
          <a:ext cx="1623060" cy="6454140"/>
        </a:xfrm>
        <a:prstGeom prst="rect">
          <a:avLst/>
        </a:prstGeom>
        <a:noFill/>
        <a:ln w="38100">
          <a:solidFill>
            <a:srgbClr val="339933"/>
          </a:solidFill>
          <a:miter lim="800000"/>
          <a:headEnd/>
          <a:tailEnd/>
        </a:ln>
        <a:effectLst>
          <a:outerShdw sx="999" sy="999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22860</xdr:colOff>
      <xdr:row>55</xdr:row>
      <xdr:rowOff>0</xdr:rowOff>
    </xdr:from>
    <xdr:to>
      <xdr:col>2</xdr:col>
      <xdr:colOff>38100</xdr:colOff>
      <xdr:row>71</xdr:row>
      <xdr:rowOff>7620</xdr:rowOff>
    </xdr:to>
    <xdr:sp macro="" textlink="">
      <xdr:nvSpPr>
        <xdr:cNvPr id="2198215" name="Rectangle 368">
          <a:extLst>
            <a:ext uri="{FF2B5EF4-FFF2-40B4-BE49-F238E27FC236}">
              <a16:creationId xmlns:a16="http://schemas.microsoft.com/office/drawing/2014/main" id="{00000000-0008-0000-0000-0000C78A2100}"/>
            </a:ext>
          </a:extLst>
        </xdr:cNvPr>
        <xdr:cNvSpPr>
          <a:spLocks noChangeArrowheads="1"/>
        </xdr:cNvSpPr>
      </xdr:nvSpPr>
      <xdr:spPr bwMode="auto">
        <a:xfrm>
          <a:off x="3200400" y="17411700"/>
          <a:ext cx="1455420" cy="6614160"/>
        </a:xfrm>
        <a:prstGeom prst="rect">
          <a:avLst/>
        </a:prstGeom>
        <a:noFill/>
        <a:ln w="38100">
          <a:solidFill>
            <a:srgbClr val="000080"/>
          </a:solidFill>
          <a:miter lim="800000"/>
          <a:headEnd/>
          <a:tailEnd/>
        </a:ln>
        <a:effectLst>
          <a:outerShdw sx="999" sy="999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22860</xdr:colOff>
      <xdr:row>54</xdr:row>
      <xdr:rowOff>60960</xdr:rowOff>
    </xdr:from>
    <xdr:to>
      <xdr:col>7</xdr:col>
      <xdr:colOff>1371600</xdr:colOff>
      <xdr:row>68</xdr:row>
      <xdr:rowOff>99060</xdr:rowOff>
    </xdr:to>
    <xdr:sp macro="" textlink="">
      <xdr:nvSpPr>
        <xdr:cNvPr id="2198216" name="Rectangle 369">
          <a:extLst>
            <a:ext uri="{FF2B5EF4-FFF2-40B4-BE49-F238E27FC236}">
              <a16:creationId xmlns:a16="http://schemas.microsoft.com/office/drawing/2014/main" id="{00000000-0008-0000-0000-0000C88A2100}"/>
            </a:ext>
          </a:extLst>
        </xdr:cNvPr>
        <xdr:cNvSpPr>
          <a:spLocks noChangeArrowheads="1"/>
        </xdr:cNvSpPr>
      </xdr:nvSpPr>
      <xdr:spPr bwMode="auto">
        <a:xfrm>
          <a:off x="9791700" y="17373600"/>
          <a:ext cx="1348740" cy="6057900"/>
        </a:xfrm>
        <a:prstGeom prst="rect">
          <a:avLst/>
        </a:prstGeom>
        <a:noFill/>
        <a:ln w="38100">
          <a:solidFill>
            <a:srgbClr val="000080"/>
          </a:solidFill>
          <a:miter lim="800000"/>
          <a:headEnd/>
          <a:tailEnd/>
        </a:ln>
        <a:effectLst>
          <a:outerShdw sx="999" sy="999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54</xdr:row>
      <xdr:rowOff>38100</xdr:rowOff>
    </xdr:from>
    <xdr:to>
      <xdr:col>3</xdr:col>
      <xdr:colOff>1386840</xdr:colOff>
      <xdr:row>71</xdr:row>
      <xdr:rowOff>0</xdr:rowOff>
    </xdr:to>
    <xdr:sp macro="" textlink="">
      <xdr:nvSpPr>
        <xdr:cNvPr id="2198217" name="Rectangle 370">
          <a:extLst>
            <a:ext uri="{FF2B5EF4-FFF2-40B4-BE49-F238E27FC236}">
              <a16:creationId xmlns:a16="http://schemas.microsoft.com/office/drawing/2014/main" id="{00000000-0008-0000-0000-0000C98A2100}"/>
            </a:ext>
          </a:extLst>
        </xdr:cNvPr>
        <xdr:cNvSpPr>
          <a:spLocks noChangeArrowheads="1"/>
        </xdr:cNvSpPr>
      </xdr:nvSpPr>
      <xdr:spPr bwMode="auto">
        <a:xfrm>
          <a:off x="5440680" y="17350740"/>
          <a:ext cx="1386840" cy="6667500"/>
        </a:xfrm>
        <a:prstGeom prst="rect">
          <a:avLst/>
        </a:prstGeom>
        <a:noFill/>
        <a:ln w="38100">
          <a:solidFill>
            <a:srgbClr val="339933"/>
          </a:solidFill>
          <a:miter lim="800000"/>
          <a:headEnd/>
          <a:tailEnd/>
        </a:ln>
        <a:effectLst>
          <a:outerShdw sx="999" sy="999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54</xdr:row>
      <xdr:rowOff>7620</xdr:rowOff>
    </xdr:from>
    <xdr:to>
      <xdr:col>9</xdr:col>
      <xdr:colOff>1714500</xdr:colOff>
      <xdr:row>67</xdr:row>
      <xdr:rowOff>327660</xdr:rowOff>
    </xdr:to>
    <xdr:sp macro="" textlink="">
      <xdr:nvSpPr>
        <xdr:cNvPr id="2198218" name="Rectangle 371">
          <a:extLst>
            <a:ext uri="{FF2B5EF4-FFF2-40B4-BE49-F238E27FC236}">
              <a16:creationId xmlns:a16="http://schemas.microsoft.com/office/drawing/2014/main" id="{00000000-0008-0000-0000-0000CA8A2100}"/>
            </a:ext>
          </a:extLst>
        </xdr:cNvPr>
        <xdr:cNvSpPr>
          <a:spLocks noChangeArrowheads="1"/>
        </xdr:cNvSpPr>
      </xdr:nvSpPr>
      <xdr:spPr bwMode="auto">
        <a:xfrm>
          <a:off x="11894820" y="17320260"/>
          <a:ext cx="1623060" cy="5996940"/>
        </a:xfrm>
        <a:prstGeom prst="rect">
          <a:avLst/>
        </a:prstGeom>
        <a:noFill/>
        <a:ln w="38100">
          <a:solidFill>
            <a:srgbClr val="339933"/>
          </a:solidFill>
          <a:miter lim="800000"/>
          <a:headEnd/>
          <a:tailEnd/>
        </a:ln>
        <a:effectLst>
          <a:outerShdw sx="999" sy="999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38100</xdr:colOff>
      <xdr:row>74</xdr:row>
      <xdr:rowOff>205740</xdr:rowOff>
    </xdr:from>
    <xdr:to>
      <xdr:col>7</xdr:col>
      <xdr:colOff>1371600</xdr:colOff>
      <xdr:row>83</xdr:row>
      <xdr:rowOff>38100</xdr:rowOff>
    </xdr:to>
    <xdr:sp macro="" textlink="">
      <xdr:nvSpPr>
        <xdr:cNvPr id="2198219" name="Rectangle 372">
          <a:extLst>
            <a:ext uri="{FF2B5EF4-FFF2-40B4-BE49-F238E27FC236}">
              <a16:creationId xmlns:a16="http://schemas.microsoft.com/office/drawing/2014/main" id="{00000000-0008-0000-0000-0000CB8A2100}"/>
            </a:ext>
          </a:extLst>
        </xdr:cNvPr>
        <xdr:cNvSpPr>
          <a:spLocks noChangeArrowheads="1"/>
        </xdr:cNvSpPr>
      </xdr:nvSpPr>
      <xdr:spPr bwMode="auto">
        <a:xfrm>
          <a:off x="9806940" y="25077420"/>
          <a:ext cx="1333500" cy="1988820"/>
        </a:xfrm>
        <a:prstGeom prst="rect">
          <a:avLst/>
        </a:prstGeom>
        <a:noFill/>
        <a:ln w="38100">
          <a:solidFill>
            <a:srgbClr val="000080"/>
          </a:solidFill>
          <a:miter lim="800000"/>
          <a:headEnd/>
          <a:tailEnd/>
        </a:ln>
        <a:effectLst>
          <a:outerShdw sx="999" sy="999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75</xdr:row>
      <xdr:rowOff>15240</xdr:rowOff>
    </xdr:from>
    <xdr:to>
      <xdr:col>9</xdr:col>
      <xdr:colOff>1592580</xdr:colOff>
      <xdr:row>83</xdr:row>
      <xdr:rowOff>15240</xdr:rowOff>
    </xdr:to>
    <xdr:sp macro="" textlink="">
      <xdr:nvSpPr>
        <xdr:cNvPr id="2198220" name="Rectangle 373">
          <a:extLst>
            <a:ext uri="{FF2B5EF4-FFF2-40B4-BE49-F238E27FC236}">
              <a16:creationId xmlns:a16="http://schemas.microsoft.com/office/drawing/2014/main" id="{00000000-0008-0000-0000-0000CC8A2100}"/>
            </a:ext>
          </a:extLst>
        </xdr:cNvPr>
        <xdr:cNvSpPr>
          <a:spLocks noChangeArrowheads="1"/>
        </xdr:cNvSpPr>
      </xdr:nvSpPr>
      <xdr:spPr bwMode="auto">
        <a:xfrm>
          <a:off x="11894820" y="25107900"/>
          <a:ext cx="1592580" cy="1935480"/>
        </a:xfrm>
        <a:prstGeom prst="rect">
          <a:avLst/>
        </a:prstGeom>
        <a:noFill/>
        <a:ln w="38100">
          <a:solidFill>
            <a:srgbClr val="339933"/>
          </a:solidFill>
          <a:miter lim="800000"/>
          <a:headEnd/>
          <a:tailEnd/>
        </a:ln>
        <a:effectLst>
          <a:outerShdw sx="999" sy="999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38100</xdr:colOff>
      <xdr:row>90</xdr:row>
      <xdr:rowOff>7620</xdr:rowOff>
    </xdr:from>
    <xdr:to>
      <xdr:col>7</xdr:col>
      <xdr:colOff>1363980</xdr:colOff>
      <xdr:row>96</xdr:row>
      <xdr:rowOff>22860</xdr:rowOff>
    </xdr:to>
    <xdr:sp macro="" textlink="">
      <xdr:nvSpPr>
        <xdr:cNvPr id="2198221" name="Rectangle 374">
          <a:extLst>
            <a:ext uri="{FF2B5EF4-FFF2-40B4-BE49-F238E27FC236}">
              <a16:creationId xmlns:a16="http://schemas.microsoft.com/office/drawing/2014/main" id="{00000000-0008-0000-0000-0000CD8A2100}"/>
            </a:ext>
          </a:extLst>
        </xdr:cNvPr>
        <xdr:cNvSpPr>
          <a:spLocks noChangeArrowheads="1"/>
        </xdr:cNvSpPr>
      </xdr:nvSpPr>
      <xdr:spPr bwMode="auto">
        <a:xfrm>
          <a:off x="9806940" y="28590240"/>
          <a:ext cx="1325880" cy="1577340"/>
        </a:xfrm>
        <a:prstGeom prst="rect">
          <a:avLst/>
        </a:prstGeom>
        <a:noFill/>
        <a:ln w="38100">
          <a:solidFill>
            <a:srgbClr val="000080"/>
          </a:solidFill>
          <a:miter lim="800000"/>
          <a:headEnd/>
          <a:tailEnd/>
        </a:ln>
        <a:effectLst>
          <a:outerShdw sx="999" sy="999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38100</xdr:colOff>
      <xdr:row>99</xdr:row>
      <xdr:rowOff>182880</xdr:rowOff>
    </xdr:from>
    <xdr:to>
      <xdr:col>7</xdr:col>
      <xdr:colOff>1348740</xdr:colOff>
      <xdr:row>110</xdr:row>
      <xdr:rowOff>22860</xdr:rowOff>
    </xdr:to>
    <xdr:sp macro="" textlink="">
      <xdr:nvSpPr>
        <xdr:cNvPr id="2198222" name="Rectangle 375">
          <a:extLst>
            <a:ext uri="{FF2B5EF4-FFF2-40B4-BE49-F238E27FC236}">
              <a16:creationId xmlns:a16="http://schemas.microsoft.com/office/drawing/2014/main" id="{00000000-0008-0000-0000-0000CE8A2100}"/>
            </a:ext>
          </a:extLst>
        </xdr:cNvPr>
        <xdr:cNvSpPr>
          <a:spLocks noChangeArrowheads="1"/>
        </xdr:cNvSpPr>
      </xdr:nvSpPr>
      <xdr:spPr bwMode="auto">
        <a:xfrm>
          <a:off x="9806940" y="30914340"/>
          <a:ext cx="1310640" cy="2057400"/>
        </a:xfrm>
        <a:prstGeom prst="rect">
          <a:avLst/>
        </a:prstGeom>
        <a:noFill/>
        <a:ln w="38100">
          <a:solidFill>
            <a:srgbClr val="000080"/>
          </a:solidFill>
          <a:miter lim="800000"/>
          <a:headEnd/>
          <a:tailEnd/>
        </a:ln>
        <a:effectLst>
          <a:outerShdw sx="999" sy="999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90</xdr:row>
      <xdr:rowOff>7620</xdr:rowOff>
    </xdr:from>
    <xdr:to>
      <xdr:col>9</xdr:col>
      <xdr:colOff>1592580</xdr:colOff>
      <xdr:row>96</xdr:row>
      <xdr:rowOff>7620</xdr:rowOff>
    </xdr:to>
    <xdr:sp macro="" textlink="">
      <xdr:nvSpPr>
        <xdr:cNvPr id="2198223" name="Rectangle 376">
          <a:extLst>
            <a:ext uri="{FF2B5EF4-FFF2-40B4-BE49-F238E27FC236}">
              <a16:creationId xmlns:a16="http://schemas.microsoft.com/office/drawing/2014/main" id="{00000000-0008-0000-0000-0000CF8A2100}"/>
            </a:ext>
          </a:extLst>
        </xdr:cNvPr>
        <xdr:cNvSpPr>
          <a:spLocks noChangeArrowheads="1"/>
        </xdr:cNvSpPr>
      </xdr:nvSpPr>
      <xdr:spPr bwMode="auto">
        <a:xfrm>
          <a:off x="11894820" y="28590240"/>
          <a:ext cx="1592580" cy="1562100"/>
        </a:xfrm>
        <a:prstGeom prst="rect">
          <a:avLst/>
        </a:prstGeom>
        <a:noFill/>
        <a:ln w="38100">
          <a:solidFill>
            <a:srgbClr val="339933"/>
          </a:solidFill>
          <a:miter lim="800000"/>
          <a:headEnd/>
          <a:tailEnd/>
        </a:ln>
        <a:effectLst>
          <a:outerShdw sx="999" sy="999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100</xdr:row>
      <xdr:rowOff>7620</xdr:rowOff>
    </xdr:from>
    <xdr:to>
      <xdr:col>10</xdr:col>
      <xdr:colOff>0</xdr:colOff>
      <xdr:row>110</xdr:row>
      <xdr:rowOff>22860</xdr:rowOff>
    </xdr:to>
    <xdr:sp macro="" textlink="">
      <xdr:nvSpPr>
        <xdr:cNvPr id="2198224" name="Rectangle 377">
          <a:extLst>
            <a:ext uri="{FF2B5EF4-FFF2-40B4-BE49-F238E27FC236}">
              <a16:creationId xmlns:a16="http://schemas.microsoft.com/office/drawing/2014/main" id="{00000000-0008-0000-0000-0000D08A2100}"/>
            </a:ext>
          </a:extLst>
        </xdr:cNvPr>
        <xdr:cNvSpPr>
          <a:spLocks noChangeArrowheads="1"/>
        </xdr:cNvSpPr>
      </xdr:nvSpPr>
      <xdr:spPr bwMode="auto">
        <a:xfrm>
          <a:off x="11894820" y="30937200"/>
          <a:ext cx="1623060" cy="2034540"/>
        </a:xfrm>
        <a:prstGeom prst="rect">
          <a:avLst/>
        </a:prstGeom>
        <a:noFill/>
        <a:ln w="38100">
          <a:solidFill>
            <a:srgbClr val="339933"/>
          </a:solidFill>
          <a:miter lim="800000"/>
          <a:headEnd/>
          <a:tailEnd/>
        </a:ln>
        <a:effectLst>
          <a:outerShdw sx="999" sy="999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116</xdr:row>
      <xdr:rowOff>22860</xdr:rowOff>
    </xdr:from>
    <xdr:to>
      <xdr:col>9</xdr:col>
      <xdr:colOff>1607820</xdr:colOff>
      <xdr:row>126</xdr:row>
      <xdr:rowOff>0</xdr:rowOff>
    </xdr:to>
    <xdr:sp macro="" textlink="">
      <xdr:nvSpPr>
        <xdr:cNvPr id="2198225" name="Rectangle 378">
          <a:extLst>
            <a:ext uri="{FF2B5EF4-FFF2-40B4-BE49-F238E27FC236}">
              <a16:creationId xmlns:a16="http://schemas.microsoft.com/office/drawing/2014/main" id="{00000000-0008-0000-0000-0000D18A2100}"/>
            </a:ext>
          </a:extLst>
        </xdr:cNvPr>
        <xdr:cNvSpPr>
          <a:spLocks noChangeArrowheads="1"/>
        </xdr:cNvSpPr>
      </xdr:nvSpPr>
      <xdr:spPr bwMode="auto">
        <a:xfrm>
          <a:off x="11894820" y="34008060"/>
          <a:ext cx="1607820" cy="1767840"/>
        </a:xfrm>
        <a:prstGeom prst="rect">
          <a:avLst/>
        </a:prstGeom>
        <a:noFill/>
        <a:ln w="38100">
          <a:solidFill>
            <a:srgbClr val="339933"/>
          </a:solidFill>
          <a:miter lim="800000"/>
          <a:headEnd/>
          <a:tailEnd/>
        </a:ln>
        <a:effectLst>
          <a:outerShdw sx="999" sy="999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116</xdr:row>
      <xdr:rowOff>22860</xdr:rowOff>
    </xdr:from>
    <xdr:to>
      <xdr:col>8</xdr:col>
      <xdr:colOff>0</xdr:colOff>
      <xdr:row>126</xdr:row>
      <xdr:rowOff>7620</xdr:rowOff>
    </xdr:to>
    <xdr:sp macro="" textlink="">
      <xdr:nvSpPr>
        <xdr:cNvPr id="2198226" name="Rectangle 379">
          <a:extLst>
            <a:ext uri="{FF2B5EF4-FFF2-40B4-BE49-F238E27FC236}">
              <a16:creationId xmlns:a16="http://schemas.microsoft.com/office/drawing/2014/main" id="{00000000-0008-0000-0000-0000D28A2100}"/>
            </a:ext>
          </a:extLst>
        </xdr:cNvPr>
        <xdr:cNvSpPr>
          <a:spLocks noChangeArrowheads="1"/>
        </xdr:cNvSpPr>
      </xdr:nvSpPr>
      <xdr:spPr bwMode="auto">
        <a:xfrm>
          <a:off x="9768840" y="34008060"/>
          <a:ext cx="1394460" cy="1775460"/>
        </a:xfrm>
        <a:prstGeom prst="rect">
          <a:avLst/>
        </a:prstGeom>
        <a:noFill/>
        <a:ln w="38100">
          <a:solidFill>
            <a:srgbClr val="000080"/>
          </a:solidFill>
          <a:miter lim="800000"/>
          <a:headEnd/>
          <a:tailEnd/>
        </a:ln>
        <a:effectLst>
          <a:outerShdw sx="999" sy="999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138</xdr:row>
      <xdr:rowOff>152400</xdr:rowOff>
    </xdr:from>
    <xdr:to>
      <xdr:col>7</xdr:col>
      <xdr:colOff>1371600</xdr:colOff>
      <xdr:row>145</xdr:row>
      <xdr:rowOff>22860</xdr:rowOff>
    </xdr:to>
    <xdr:sp macro="" textlink="">
      <xdr:nvSpPr>
        <xdr:cNvPr id="2198227" name="Rectangle 380">
          <a:extLst>
            <a:ext uri="{FF2B5EF4-FFF2-40B4-BE49-F238E27FC236}">
              <a16:creationId xmlns:a16="http://schemas.microsoft.com/office/drawing/2014/main" id="{00000000-0008-0000-0000-0000D38A2100}"/>
            </a:ext>
          </a:extLst>
        </xdr:cNvPr>
        <xdr:cNvSpPr>
          <a:spLocks noChangeArrowheads="1"/>
        </xdr:cNvSpPr>
      </xdr:nvSpPr>
      <xdr:spPr bwMode="auto">
        <a:xfrm>
          <a:off x="9768840" y="38656260"/>
          <a:ext cx="1371600" cy="1074420"/>
        </a:xfrm>
        <a:prstGeom prst="rect">
          <a:avLst/>
        </a:prstGeom>
        <a:noFill/>
        <a:ln w="38100">
          <a:solidFill>
            <a:srgbClr val="000080"/>
          </a:solidFill>
          <a:miter lim="800000"/>
          <a:headEnd/>
          <a:tailEnd/>
        </a:ln>
        <a:effectLst>
          <a:outerShdw sx="999" sy="999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139</xdr:row>
      <xdr:rowOff>22860</xdr:rowOff>
    </xdr:from>
    <xdr:to>
      <xdr:col>9</xdr:col>
      <xdr:colOff>1607820</xdr:colOff>
      <xdr:row>145</xdr:row>
      <xdr:rowOff>38100</xdr:rowOff>
    </xdr:to>
    <xdr:sp macro="" textlink="">
      <xdr:nvSpPr>
        <xdr:cNvPr id="2198228" name="Rectangle 381">
          <a:extLst>
            <a:ext uri="{FF2B5EF4-FFF2-40B4-BE49-F238E27FC236}">
              <a16:creationId xmlns:a16="http://schemas.microsoft.com/office/drawing/2014/main" id="{00000000-0008-0000-0000-0000D48A2100}"/>
            </a:ext>
          </a:extLst>
        </xdr:cNvPr>
        <xdr:cNvSpPr>
          <a:spLocks noChangeArrowheads="1"/>
        </xdr:cNvSpPr>
      </xdr:nvSpPr>
      <xdr:spPr bwMode="auto">
        <a:xfrm>
          <a:off x="11894820" y="38724840"/>
          <a:ext cx="1607820" cy="1021080"/>
        </a:xfrm>
        <a:prstGeom prst="rect">
          <a:avLst/>
        </a:prstGeom>
        <a:noFill/>
        <a:ln w="38100">
          <a:solidFill>
            <a:srgbClr val="339933"/>
          </a:solidFill>
          <a:miter lim="800000"/>
          <a:headEnd/>
          <a:tailEnd/>
        </a:ln>
        <a:effectLst>
          <a:outerShdw sx="999" sy="999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167</xdr:row>
      <xdr:rowOff>22860</xdr:rowOff>
    </xdr:from>
    <xdr:to>
      <xdr:col>7</xdr:col>
      <xdr:colOff>1363980</xdr:colOff>
      <xdr:row>172</xdr:row>
      <xdr:rowOff>198120</xdr:rowOff>
    </xdr:to>
    <xdr:sp macro="" textlink="">
      <xdr:nvSpPr>
        <xdr:cNvPr id="2198229" name="Rectangle 382">
          <a:extLst>
            <a:ext uri="{FF2B5EF4-FFF2-40B4-BE49-F238E27FC236}">
              <a16:creationId xmlns:a16="http://schemas.microsoft.com/office/drawing/2014/main" id="{00000000-0008-0000-0000-0000D58A2100}"/>
            </a:ext>
          </a:extLst>
        </xdr:cNvPr>
        <xdr:cNvSpPr>
          <a:spLocks noChangeArrowheads="1"/>
        </xdr:cNvSpPr>
      </xdr:nvSpPr>
      <xdr:spPr bwMode="auto">
        <a:xfrm>
          <a:off x="9768840" y="43616880"/>
          <a:ext cx="1363980" cy="1882140"/>
        </a:xfrm>
        <a:prstGeom prst="rect">
          <a:avLst/>
        </a:prstGeom>
        <a:noFill/>
        <a:ln w="38100">
          <a:solidFill>
            <a:srgbClr val="000080"/>
          </a:solidFill>
          <a:miter lim="800000"/>
          <a:headEnd/>
          <a:tailEnd/>
        </a:ln>
        <a:effectLst>
          <a:outerShdw sx="999" sy="999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167</xdr:row>
      <xdr:rowOff>22860</xdr:rowOff>
    </xdr:from>
    <xdr:to>
      <xdr:col>9</xdr:col>
      <xdr:colOff>1577340</xdr:colOff>
      <xdr:row>172</xdr:row>
      <xdr:rowOff>198120</xdr:rowOff>
    </xdr:to>
    <xdr:sp macro="" textlink="">
      <xdr:nvSpPr>
        <xdr:cNvPr id="2198230" name="Rectangle 383">
          <a:extLst>
            <a:ext uri="{FF2B5EF4-FFF2-40B4-BE49-F238E27FC236}">
              <a16:creationId xmlns:a16="http://schemas.microsoft.com/office/drawing/2014/main" id="{00000000-0008-0000-0000-0000D68A2100}"/>
            </a:ext>
          </a:extLst>
        </xdr:cNvPr>
        <xdr:cNvSpPr>
          <a:spLocks noChangeArrowheads="1"/>
        </xdr:cNvSpPr>
      </xdr:nvSpPr>
      <xdr:spPr bwMode="auto">
        <a:xfrm>
          <a:off x="11894820" y="43616880"/>
          <a:ext cx="1577340" cy="1882140"/>
        </a:xfrm>
        <a:prstGeom prst="rect">
          <a:avLst/>
        </a:prstGeom>
        <a:noFill/>
        <a:ln w="38100">
          <a:solidFill>
            <a:srgbClr val="339933"/>
          </a:solidFill>
          <a:miter lim="800000"/>
          <a:headEnd/>
          <a:tailEnd/>
        </a:ln>
        <a:effectLst>
          <a:outerShdw sx="999" sy="999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182</xdr:row>
      <xdr:rowOff>22860</xdr:rowOff>
    </xdr:from>
    <xdr:to>
      <xdr:col>8</xdr:col>
      <xdr:colOff>22860</xdr:colOff>
      <xdr:row>204</xdr:row>
      <xdr:rowOff>0</xdr:rowOff>
    </xdr:to>
    <xdr:sp macro="" textlink="">
      <xdr:nvSpPr>
        <xdr:cNvPr id="2198231" name="Rectangle 384">
          <a:extLst>
            <a:ext uri="{FF2B5EF4-FFF2-40B4-BE49-F238E27FC236}">
              <a16:creationId xmlns:a16="http://schemas.microsoft.com/office/drawing/2014/main" id="{00000000-0008-0000-0000-0000D78A2100}"/>
            </a:ext>
          </a:extLst>
        </xdr:cNvPr>
        <xdr:cNvSpPr>
          <a:spLocks noChangeArrowheads="1"/>
        </xdr:cNvSpPr>
      </xdr:nvSpPr>
      <xdr:spPr bwMode="auto">
        <a:xfrm>
          <a:off x="9768840" y="46992540"/>
          <a:ext cx="1417320" cy="4472940"/>
        </a:xfrm>
        <a:prstGeom prst="rect">
          <a:avLst/>
        </a:prstGeom>
        <a:noFill/>
        <a:ln w="38100">
          <a:solidFill>
            <a:srgbClr val="000080"/>
          </a:solidFill>
          <a:miter lim="800000"/>
          <a:headEnd/>
          <a:tailEnd/>
        </a:ln>
        <a:effectLst>
          <a:outerShdw sx="999" sy="999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182</xdr:row>
      <xdr:rowOff>22860</xdr:rowOff>
    </xdr:from>
    <xdr:to>
      <xdr:col>9</xdr:col>
      <xdr:colOff>1607820</xdr:colOff>
      <xdr:row>203</xdr:row>
      <xdr:rowOff>312420</xdr:rowOff>
    </xdr:to>
    <xdr:sp macro="" textlink="">
      <xdr:nvSpPr>
        <xdr:cNvPr id="2198232" name="Rectangle 385">
          <a:extLst>
            <a:ext uri="{FF2B5EF4-FFF2-40B4-BE49-F238E27FC236}">
              <a16:creationId xmlns:a16="http://schemas.microsoft.com/office/drawing/2014/main" id="{00000000-0008-0000-0000-0000D88A2100}"/>
            </a:ext>
          </a:extLst>
        </xdr:cNvPr>
        <xdr:cNvSpPr>
          <a:spLocks noChangeArrowheads="1"/>
        </xdr:cNvSpPr>
      </xdr:nvSpPr>
      <xdr:spPr bwMode="auto">
        <a:xfrm>
          <a:off x="11894820" y="46992540"/>
          <a:ext cx="1607820" cy="4450080"/>
        </a:xfrm>
        <a:prstGeom prst="rect">
          <a:avLst/>
        </a:prstGeom>
        <a:noFill/>
        <a:ln w="38100">
          <a:solidFill>
            <a:srgbClr val="339933"/>
          </a:solidFill>
          <a:miter lim="800000"/>
          <a:headEnd/>
          <a:tailEnd/>
        </a:ln>
        <a:effectLst>
          <a:outerShdw sx="999" sy="999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212</xdr:row>
      <xdr:rowOff>7620</xdr:rowOff>
    </xdr:from>
    <xdr:to>
      <xdr:col>8</xdr:col>
      <xdr:colOff>22860</xdr:colOff>
      <xdr:row>219</xdr:row>
      <xdr:rowOff>30480</xdr:rowOff>
    </xdr:to>
    <xdr:sp macro="" textlink="">
      <xdr:nvSpPr>
        <xdr:cNvPr id="2198233" name="Rectangle 386">
          <a:extLst>
            <a:ext uri="{FF2B5EF4-FFF2-40B4-BE49-F238E27FC236}">
              <a16:creationId xmlns:a16="http://schemas.microsoft.com/office/drawing/2014/main" id="{00000000-0008-0000-0000-0000D98A2100}"/>
            </a:ext>
          </a:extLst>
        </xdr:cNvPr>
        <xdr:cNvSpPr>
          <a:spLocks noChangeArrowheads="1"/>
        </xdr:cNvSpPr>
      </xdr:nvSpPr>
      <xdr:spPr bwMode="auto">
        <a:xfrm>
          <a:off x="9768840" y="53050440"/>
          <a:ext cx="1417320" cy="1645920"/>
        </a:xfrm>
        <a:prstGeom prst="rect">
          <a:avLst/>
        </a:prstGeom>
        <a:noFill/>
        <a:ln w="38100">
          <a:solidFill>
            <a:srgbClr val="000080"/>
          </a:solidFill>
          <a:miter lim="800000"/>
          <a:headEnd/>
          <a:tailEnd/>
        </a:ln>
        <a:effectLst>
          <a:outerShdw sx="999" sy="999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212</xdr:row>
      <xdr:rowOff>7620</xdr:rowOff>
    </xdr:from>
    <xdr:to>
      <xdr:col>9</xdr:col>
      <xdr:colOff>1592580</xdr:colOff>
      <xdr:row>219</xdr:row>
      <xdr:rowOff>7620</xdr:rowOff>
    </xdr:to>
    <xdr:sp macro="" textlink="">
      <xdr:nvSpPr>
        <xdr:cNvPr id="2198234" name="Rectangle 387">
          <a:extLst>
            <a:ext uri="{FF2B5EF4-FFF2-40B4-BE49-F238E27FC236}">
              <a16:creationId xmlns:a16="http://schemas.microsoft.com/office/drawing/2014/main" id="{00000000-0008-0000-0000-0000DA8A2100}"/>
            </a:ext>
          </a:extLst>
        </xdr:cNvPr>
        <xdr:cNvSpPr>
          <a:spLocks noChangeArrowheads="1"/>
        </xdr:cNvSpPr>
      </xdr:nvSpPr>
      <xdr:spPr bwMode="auto">
        <a:xfrm>
          <a:off x="11894820" y="53050440"/>
          <a:ext cx="1592580" cy="1623060"/>
        </a:xfrm>
        <a:prstGeom prst="rect">
          <a:avLst/>
        </a:prstGeom>
        <a:noFill/>
        <a:ln w="38100">
          <a:solidFill>
            <a:srgbClr val="339933"/>
          </a:solidFill>
          <a:miter lim="800000"/>
          <a:headEnd/>
          <a:tailEnd/>
        </a:ln>
        <a:effectLst>
          <a:outerShdw sx="999" sy="999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232</xdr:row>
      <xdr:rowOff>22860</xdr:rowOff>
    </xdr:from>
    <xdr:to>
      <xdr:col>9</xdr:col>
      <xdr:colOff>1592580</xdr:colOff>
      <xdr:row>239</xdr:row>
      <xdr:rowOff>30480</xdr:rowOff>
    </xdr:to>
    <xdr:sp macro="" textlink="">
      <xdr:nvSpPr>
        <xdr:cNvPr id="2198235" name="Rectangle 388">
          <a:extLst>
            <a:ext uri="{FF2B5EF4-FFF2-40B4-BE49-F238E27FC236}">
              <a16:creationId xmlns:a16="http://schemas.microsoft.com/office/drawing/2014/main" id="{00000000-0008-0000-0000-0000DB8A2100}"/>
            </a:ext>
          </a:extLst>
        </xdr:cNvPr>
        <xdr:cNvSpPr>
          <a:spLocks noChangeArrowheads="1"/>
        </xdr:cNvSpPr>
      </xdr:nvSpPr>
      <xdr:spPr bwMode="auto">
        <a:xfrm>
          <a:off x="11894820" y="57058560"/>
          <a:ext cx="1592580" cy="1272540"/>
        </a:xfrm>
        <a:prstGeom prst="rect">
          <a:avLst/>
        </a:prstGeom>
        <a:noFill/>
        <a:ln w="38100">
          <a:solidFill>
            <a:srgbClr val="339933"/>
          </a:solidFill>
          <a:miter lim="800000"/>
          <a:headEnd/>
          <a:tailEnd/>
        </a:ln>
        <a:effectLst>
          <a:outerShdw sx="999" sy="999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232</xdr:row>
      <xdr:rowOff>22860</xdr:rowOff>
    </xdr:from>
    <xdr:to>
      <xdr:col>7</xdr:col>
      <xdr:colOff>1363980</xdr:colOff>
      <xdr:row>239</xdr:row>
      <xdr:rowOff>7620</xdr:rowOff>
    </xdr:to>
    <xdr:sp macro="" textlink="">
      <xdr:nvSpPr>
        <xdr:cNvPr id="2198236" name="Rectangle 389">
          <a:extLst>
            <a:ext uri="{FF2B5EF4-FFF2-40B4-BE49-F238E27FC236}">
              <a16:creationId xmlns:a16="http://schemas.microsoft.com/office/drawing/2014/main" id="{00000000-0008-0000-0000-0000DC8A2100}"/>
            </a:ext>
          </a:extLst>
        </xdr:cNvPr>
        <xdr:cNvSpPr>
          <a:spLocks noChangeArrowheads="1"/>
        </xdr:cNvSpPr>
      </xdr:nvSpPr>
      <xdr:spPr bwMode="auto">
        <a:xfrm>
          <a:off x="9768840" y="57058560"/>
          <a:ext cx="1363980" cy="1249680"/>
        </a:xfrm>
        <a:prstGeom prst="rect">
          <a:avLst/>
        </a:prstGeom>
        <a:noFill/>
        <a:ln w="38100">
          <a:solidFill>
            <a:srgbClr val="000080"/>
          </a:solidFill>
          <a:miter lim="800000"/>
          <a:headEnd/>
          <a:tailEnd/>
        </a:ln>
        <a:effectLst>
          <a:outerShdw sx="999" sy="999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163285</xdr:colOff>
      <xdr:row>0</xdr:row>
      <xdr:rowOff>108857</xdr:rowOff>
    </xdr:from>
    <xdr:to>
      <xdr:col>11</xdr:col>
      <xdr:colOff>214993</xdr:colOff>
      <xdr:row>1</xdr:row>
      <xdr:rowOff>119548</xdr:rowOff>
    </xdr:to>
    <xdr:pic>
      <xdr:nvPicPr>
        <xdr:cNvPr id="63" name="Grafik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6795" y="108857"/>
          <a:ext cx="3589565" cy="415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181428</xdr:colOff>
      <xdr:row>0</xdr:row>
      <xdr:rowOff>108856</xdr:rowOff>
    </xdr:from>
    <xdr:to>
      <xdr:col>6</xdr:col>
      <xdr:colOff>106136</xdr:colOff>
      <xdr:row>0</xdr:row>
      <xdr:rowOff>523874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3828" y="108856"/>
          <a:ext cx="3589565" cy="415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134</xdr:col>
      <xdr:colOff>1638300</xdr:colOff>
      <xdr:row>66</xdr:row>
      <xdr:rowOff>106680</xdr:rowOff>
    </xdr:from>
    <xdr:to>
      <xdr:col>138</xdr:col>
      <xdr:colOff>45720</xdr:colOff>
      <xdr:row>72</xdr:row>
      <xdr:rowOff>99060</xdr:rowOff>
    </xdr:to>
    <xdr:sp macro="" textlink="">
      <xdr:nvSpPr>
        <xdr:cNvPr id="1852487" name="Line 504">
          <a:extLst>
            <a:ext uri="{FF2B5EF4-FFF2-40B4-BE49-F238E27FC236}">
              <a16:creationId xmlns:a16="http://schemas.microsoft.com/office/drawing/2014/main" id="{00000000-0008-0000-0A00-000047441C00}"/>
            </a:ext>
          </a:extLst>
        </xdr:cNvPr>
        <xdr:cNvSpPr>
          <a:spLocks noChangeShapeType="1"/>
        </xdr:cNvSpPr>
      </xdr:nvSpPr>
      <xdr:spPr bwMode="auto">
        <a:xfrm flipV="1">
          <a:off x="169979340" y="13723620"/>
          <a:ext cx="2918460" cy="11353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7257</xdr:colOff>
      <xdr:row>0</xdr:row>
      <xdr:rowOff>130628</xdr:rowOff>
    </xdr:from>
    <xdr:to>
      <xdr:col>5</xdr:col>
      <xdr:colOff>672194</xdr:colOff>
      <xdr:row>0</xdr:row>
      <xdr:rowOff>545646</xdr:rowOff>
    </xdr:to>
    <xdr:pic>
      <xdr:nvPicPr>
        <xdr:cNvPr id="5" name="Grafik 2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0572" y="130628"/>
          <a:ext cx="3589565" cy="415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5</xdr:col>
      <xdr:colOff>259817</xdr:colOff>
      <xdr:row>1</xdr:row>
      <xdr:rowOff>18010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8051" y="0"/>
          <a:ext cx="3589565" cy="415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4</xdr:row>
      <xdr:rowOff>160020</xdr:rowOff>
    </xdr:from>
    <xdr:to>
      <xdr:col>4</xdr:col>
      <xdr:colOff>647700</xdr:colOff>
      <xdr:row>19</xdr:row>
      <xdr:rowOff>144780</xdr:rowOff>
    </xdr:to>
    <xdr:graphicFrame macro="">
      <xdr:nvGraphicFramePr>
        <xdr:cNvPr id="1385" name="Chart 4">
          <a:extLst>
            <a:ext uri="{FF2B5EF4-FFF2-40B4-BE49-F238E27FC236}">
              <a16:creationId xmlns:a16="http://schemas.microsoft.com/office/drawing/2014/main" id="{00000000-0008-0000-0C00-00006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805542</xdr:colOff>
      <xdr:row>0</xdr:row>
      <xdr:rowOff>203200</xdr:rowOff>
    </xdr:from>
    <xdr:to>
      <xdr:col>6</xdr:col>
      <xdr:colOff>752022</xdr:colOff>
      <xdr:row>1</xdr:row>
      <xdr:rowOff>219075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2057" y="203200"/>
          <a:ext cx="3589565" cy="415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1167191</xdr:colOff>
      <xdr:row>0</xdr:row>
      <xdr:rowOff>96762</xdr:rowOff>
    </xdr:from>
    <xdr:to>
      <xdr:col>7</xdr:col>
      <xdr:colOff>443321</xdr:colOff>
      <xdr:row>0</xdr:row>
      <xdr:rowOff>453571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53905" y="96762"/>
          <a:ext cx="3019606" cy="3568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0</xdr:col>
      <xdr:colOff>0</xdr:colOff>
      <xdr:row>1</xdr:row>
      <xdr:rowOff>28575</xdr:rowOff>
    </xdr:to>
    <xdr:pic>
      <xdr:nvPicPr>
        <xdr:cNvPr id="2" name="Picture 16" descr="Logo_ACW_d_quer_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0" cy="186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466725</xdr:colOff>
      <xdr:row>0</xdr:row>
      <xdr:rowOff>38100</xdr:rowOff>
    </xdr:from>
    <xdr:ext cx="3823335" cy="411480"/>
    <xdr:pic>
      <xdr:nvPicPr>
        <xdr:cNvPr id="3" name="Grafik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205" y="38100"/>
          <a:ext cx="3823335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3823335" cy="411480"/>
    <xdr:pic>
      <xdr:nvPicPr>
        <xdr:cNvPr id="3" name="Grafik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2400" y="0"/>
          <a:ext cx="3823335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134</xdr:col>
      <xdr:colOff>1638300</xdr:colOff>
      <xdr:row>66</xdr:row>
      <xdr:rowOff>106680</xdr:rowOff>
    </xdr:from>
    <xdr:to>
      <xdr:col>138</xdr:col>
      <xdr:colOff>45720</xdr:colOff>
      <xdr:row>72</xdr:row>
      <xdr:rowOff>99060</xdr:rowOff>
    </xdr:to>
    <xdr:sp macro="" textlink="">
      <xdr:nvSpPr>
        <xdr:cNvPr id="61072" name="Line 228">
          <a:extLst>
            <a:ext uri="{FF2B5EF4-FFF2-40B4-BE49-F238E27FC236}">
              <a16:creationId xmlns:a16="http://schemas.microsoft.com/office/drawing/2014/main" id="{00000000-0008-0000-0400-000090EE0000}"/>
            </a:ext>
          </a:extLst>
        </xdr:cNvPr>
        <xdr:cNvSpPr>
          <a:spLocks noChangeShapeType="1"/>
        </xdr:cNvSpPr>
      </xdr:nvSpPr>
      <xdr:spPr bwMode="auto">
        <a:xfrm flipV="1">
          <a:off x="169986960" y="13731240"/>
          <a:ext cx="2918460" cy="11353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0</xdr:colOff>
      <xdr:row>0</xdr:row>
      <xdr:rowOff>0</xdr:rowOff>
    </xdr:from>
    <xdr:ext cx="3823335" cy="411480"/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3340" y="0"/>
          <a:ext cx="3823335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717178</xdr:colOff>
      <xdr:row>0</xdr:row>
      <xdr:rowOff>32017</xdr:rowOff>
    </xdr:from>
    <xdr:ext cx="3823335" cy="411480"/>
    <xdr:pic>
      <xdr:nvPicPr>
        <xdr:cNvPr id="3" name="Grafik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5229" y="32017"/>
          <a:ext cx="3823335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</xdr:row>
      <xdr:rowOff>259080</xdr:rowOff>
    </xdr:from>
    <xdr:to>
      <xdr:col>4</xdr:col>
      <xdr:colOff>792480</xdr:colOff>
      <xdr:row>17</xdr:row>
      <xdr:rowOff>236220</xdr:rowOff>
    </xdr:to>
    <xdr:graphicFrame macro="">
      <xdr:nvGraphicFramePr>
        <xdr:cNvPr id="62807" name="Chart 1">
          <a:extLst>
            <a:ext uri="{FF2B5EF4-FFF2-40B4-BE49-F238E27FC236}">
              <a16:creationId xmlns:a16="http://schemas.microsoft.com/office/drawing/2014/main" id="{00000000-0008-0000-0600-000057F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1349829</xdr:colOff>
      <xdr:row>0</xdr:row>
      <xdr:rowOff>36287</xdr:rowOff>
    </xdr:from>
    <xdr:ext cx="3823335" cy="411480"/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1029" y="36287"/>
          <a:ext cx="3823335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1143000</xdr:colOff>
      <xdr:row>0</xdr:row>
      <xdr:rowOff>197307</xdr:rowOff>
    </xdr:from>
    <xdr:ext cx="3823335" cy="411480"/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3661" y="197307"/>
          <a:ext cx="3823335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263978</xdr:colOff>
      <xdr:row>0</xdr:row>
      <xdr:rowOff>25854</xdr:rowOff>
    </xdr:from>
    <xdr:to>
      <xdr:col>6</xdr:col>
      <xdr:colOff>615043</xdr:colOff>
      <xdr:row>2</xdr:row>
      <xdr:rowOff>5443</xdr:rowOff>
    </xdr:to>
    <xdr:pic>
      <xdr:nvPicPr>
        <xdr:cNvPr id="2" name="Grafik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49" y="25854"/>
          <a:ext cx="3589565" cy="415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-Work/22_Plant_Production-CH/226.14_&#214;konomie/01_Projekte/011_CH_Projekte/Arbokost/Internet/Arbokost_Internet_2022/Apfel_2022_30.03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ngabeseite"/>
      <sheetName val="Notizen"/>
      <sheetName val="Variante Vorgaben"/>
      <sheetName val="Variante Hagel"/>
      <sheetName val="Variante Bewässerung"/>
      <sheetName val="Variante Erstellung"/>
      <sheetName val="Variante Standjahre"/>
      <sheetName val="Variante Ertragsphase"/>
      <sheetName val="Variante Cashflow"/>
      <sheetName val="Standard Vorgaben"/>
      <sheetName val="Standard Hagel"/>
      <sheetName val="Standard Bewässerung"/>
      <sheetName val="Standard Erstellung"/>
      <sheetName val="Standard Standjahre"/>
      <sheetName val="Standard Ertragsphase"/>
      <sheetName val="Standard Cashflow"/>
      <sheetName val="Berechnungen"/>
      <sheetName val="Daten_Psm"/>
    </sheetNames>
    <sheetDataSet>
      <sheetData sheetId="0"/>
      <sheetData sheetId="1"/>
      <sheetData sheetId="2">
        <row r="36">
          <cell r="C36">
            <v>32.700000000000003</v>
          </cell>
        </row>
        <row r="226">
          <cell r="C226">
            <v>1</v>
          </cell>
        </row>
        <row r="227">
          <cell r="C227">
            <v>500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23">
          <cell r="C23">
            <v>25</v>
          </cell>
        </row>
        <row r="24">
          <cell r="C24">
            <v>2900</v>
          </cell>
        </row>
        <row r="36">
          <cell r="C36">
            <v>32.700000000000003</v>
          </cell>
        </row>
        <row r="233">
          <cell r="C233">
            <v>1</v>
          </cell>
        </row>
        <row r="234">
          <cell r="C234">
            <v>500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6">
          <cell r="B6" t="str">
            <v>Armicarb</v>
          </cell>
          <cell r="C6" t="str">
            <v>Bion</v>
          </cell>
          <cell r="D6" t="str">
            <v>Armicarb</v>
          </cell>
          <cell r="E6" t="str">
            <v>Alce</v>
          </cell>
          <cell r="F6" t="str">
            <v>Actara G Profi</v>
          </cell>
          <cell r="G6" t="str">
            <v>Folanx Ca</v>
          </cell>
        </row>
        <row r="7">
          <cell r="B7" t="str">
            <v>Cerone</v>
          </cell>
          <cell r="C7" t="str">
            <v>Blossom Protect</v>
          </cell>
          <cell r="D7" t="str">
            <v>Captan WDG</v>
          </cell>
          <cell r="E7" t="str">
            <v>Basta 150</v>
          </cell>
          <cell r="F7" t="str">
            <v>Affirm</v>
          </cell>
          <cell r="G7" t="str">
            <v>Wuxal Bor</v>
          </cell>
        </row>
        <row r="8">
          <cell r="B8" t="str">
            <v>Dartilon</v>
          </cell>
          <cell r="C8" t="str">
            <v>LMA</v>
          </cell>
          <cell r="D8" t="str">
            <v>Cercobin</v>
          </cell>
          <cell r="E8" t="str">
            <v>Diuron 80</v>
          </cell>
          <cell r="F8" t="str">
            <v>Alanto</v>
          </cell>
          <cell r="G8" t="str">
            <v>Magnesiumchelat</v>
          </cell>
        </row>
        <row r="9">
          <cell r="B9" t="str">
            <v>Dirager S</v>
          </cell>
          <cell r="C9" t="str">
            <v>Senerade Max</v>
          </cell>
          <cell r="D9" t="str">
            <v>Chorus</v>
          </cell>
          <cell r="E9" t="str">
            <v>Duplosan KV Combi</v>
          </cell>
          <cell r="F9" t="str">
            <v>Audienz</v>
          </cell>
          <cell r="G9" t="str">
            <v>Manganchelat</v>
          </cell>
        </row>
        <row r="10">
          <cell r="B10" t="str">
            <v>Ethefon S</v>
          </cell>
          <cell r="C10" t="str">
            <v>Streptomycin</v>
          </cell>
          <cell r="D10" t="str">
            <v>Curatio</v>
          </cell>
          <cell r="E10" t="str">
            <v>Glyfos best</v>
          </cell>
          <cell r="F10" t="str">
            <v xml:space="preserve">Gazelle SG </v>
          </cell>
          <cell r="G10" t="str">
            <v/>
          </cell>
        </row>
        <row r="11">
          <cell r="B11" t="str">
            <v>Maxcel</v>
          </cell>
          <cell r="C11" t="str">
            <v>Vitigran 35</v>
          </cell>
          <cell r="D11" t="str">
            <v>Delan WG</v>
          </cell>
          <cell r="E11" t="str">
            <v>Plüsstar</v>
          </cell>
          <cell r="F11" t="str">
            <v>Isomate-CLR/OFM</v>
          </cell>
          <cell r="G11" t="str">
            <v/>
          </cell>
        </row>
        <row r="12">
          <cell r="B12" t="str">
            <v>Rhodofix</v>
          </cell>
          <cell r="C12" t="str">
            <v/>
          </cell>
          <cell r="D12" t="str">
            <v>Elosal Supra</v>
          </cell>
          <cell r="E12" t="str">
            <v>Surflan</v>
          </cell>
          <cell r="F12" t="str">
            <v>Isomate Mister C</v>
          </cell>
          <cell r="G12" t="str">
            <v/>
          </cell>
        </row>
        <row r="13">
          <cell r="B13" t="str">
            <v/>
          </cell>
          <cell r="C13" t="str">
            <v/>
          </cell>
          <cell r="D13" t="str">
            <v>Flint</v>
          </cell>
          <cell r="E13" t="str">
            <v/>
          </cell>
          <cell r="F13" t="str">
            <v xml:space="preserve">Kiron </v>
          </cell>
          <cell r="G13" t="str">
            <v/>
          </cell>
        </row>
        <row r="14">
          <cell r="B14" t="str">
            <v/>
          </cell>
          <cell r="C14" t="str">
            <v/>
          </cell>
          <cell r="D14" t="str">
            <v>Folpet 80 WDG</v>
          </cell>
          <cell r="E14" t="str">
            <v/>
          </cell>
          <cell r="F14" t="str">
            <v>Madex Twin</v>
          </cell>
          <cell r="G14" t="str">
            <v/>
          </cell>
        </row>
        <row r="15">
          <cell r="B15" t="str">
            <v/>
          </cell>
          <cell r="C15" t="str">
            <v/>
          </cell>
          <cell r="D15" t="str">
            <v>Frupica SC</v>
          </cell>
          <cell r="E15" t="str">
            <v/>
          </cell>
          <cell r="F15" t="str">
            <v>Mimic</v>
          </cell>
          <cell r="G15" t="str">
            <v/>
          </cell>
        </row>
        <row r="16">
          <cell r="B16" t="str">
            <v/>
          </cell>
          <cell r="C16" t="str">
            <v/>
          </cell>
          <cell r="D16" t="str">
            <v>Moon Privilege</v>
          </cell>
          <cell r="E16" t="str">
            <v/>
          </cell>
          <cell r="F16" t="str">
            <v>Movento SC</v>
          </cell>
          <cell r="G16" t="str">
            <v/>
          </cell>
        </row>
        <row r="17">
          <cell r="B17" t="str">
            <v/>
          </cell>
          <cell r="C17" t="str">
            <v/>
          </cell>
          <cell r="D17" t="str">
            <v>Myco-Sin</v>
          </cell>
          <cell r="E17" t="str">
            <v/>
          </cell>
          <cell r="F17" t="str">
            <v>NeemAzal-T/S</v>
          </cell>
          <cell r="G17" t="str">
            <v/>
          </cell>
        </row>
        <row r="18">
          <cell r="B18" t="str">
            <v/>
          </cell>
          <cell r="C18" t="str">
            <v/>
          </cell>
          <cell r="D18" t="str">
            <v>Netzschwefel</v>
          </cell>
          <cell r="E18" t="str">
            <v/>
          </cell>
          <cell r="F18" t="str">
            <v>Pirimor</v>
          </cell>
          <cell r="G18" t="str">
            <v/>
          </cell>
        </row>
        <row r="19">
          <cell r="B19" t="str">
            <v/>
          </cell>
          <cell r="C19" t="str">
            <v/>
          </cell>
          <cell r="D19" t="str">
            <v>Papyrus</v>
          </cell>
          <cell r="E19" t="str">
            <v/>
          </cell>
          <cell r="F19" t="str">
            <v>Prodigy</v>
          </cell>
          <cell r="G19" t="str">
            <v/>
          </cell>
        </row>
        <row r="20">
          <cell r="B20" t="str">
            <v/>
          </cell>
          <cell r="C20" t="str">
            <v/>
          </cell>
          <cell r="D20" t="str">
            <v>Sercadis</v>
          </cell>
          <cell r="E20" t="str">
            <v/>
          </cell>
          <cell r="F20" t="str">
            <v>Quassan</v>
          </cell>
          <cell r="G20" t="str">
            <v/>
          </cell>
        </row>
        <row r="21">
          <cell r="B21" t="str">
            <v/>
          </cell>
          <cell r="C21" t="str">
            <v/>
          </cell>
          <cell r="D21" t="str">
            <v>Slick</v>
          </cell>
          <cell r="E21" t="str">
            <v/>
          </cell>
          <cell r="F21" t="str">
            <v>Reldan 22</v>
          </cell>
          <cell r="G21" t="str">
            <v/>
          </cell>
        </row>
        <row r="22">
          <cell r="B22" t="str">
            <v/>
          </cell>
          <cell r="C22" t="str">
            <v/>
          </cell>
          <cell r="D22" t="str">
            <v>Stamina S</v>
          </cell>
          <cell r="E22" t="str">
            <v/>
          </cell>
          <cell r="F22" t="str">
            <v>Spray Oil 7-E</v>
          </cell>
          <cell r="G22" t="str">
            <v/>
          </cell>
        </row>
        <row r="23">
          <cell r="B23" t="str">
            <v/>
          </cell>
          <cell r="C23" t="str">
            <v/>
          </cell>
          <cell r="D23" t="str">
            <v>Stroby WG</v>
          </cell>
          <cell r="E23" t="str">
            <v/>
          </cell>
          <cell r="F23" t="str">
            <v>Steward</v>
          </cell>
          <cell r="G23" t="str">
            <v/>
          </cell>
        </row>
        <row r="24">
          <cell r="B24" t="str">
            <v/>
          </cell>
          <cell r="C24" t="str">
            <v/>
          </cell>
          <cell r="D24" t="str">
            <v>Vitigran 35</v>
          </cell>
          <cell r="E24" t="str">
            <v/>
          </cell>
          <cell r="F24" t="str">
            <v>Weissöl S</v>
          </cell>
          <cell r="G24" t="str">
            <v/>
          </cell>
        </row>
        <row r="25">
          <cell r="B25" t="str">
            <v/>
          </cell>
          <cell r="C25" t="str">
            <v/>
          </cell>
          <cell r="D25" t="str">
            <v>Vitisan</v>
          </cell>
          <cell r="E25" t="str">
            <v/>
          </cell>
          <cell r="F25" t="str">
            <v>Zorro</v>
          </cell>
          <cell r="G25" t="str">
            <v/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</row>
        <row r="34">
          <cell r="B34" t="str">
            <v>-Bitte auswählen-</v>
          </cell>
          <cell r="C34" t="str">
            <v>-Bitte auswählen-</v>
          </cell>
        </row>
        <row r="35">
          <cell r="B35">
            <v>1</v>
          </cell>
          <cell r="C35">
            <v>1</v>
          </cell>
        </row>
        <row r="36">
          <cell r="B36">
            <v>2</v>
          </cell>
          <cell r="C36">
            <v>2</v>
          </cell>
        </row>
        <row r="37">
          <cell r="B37">
            <v>3</v>
          </cell>
          <cell r="C37">
            <v>3</v>
          </cell>
        </row>
        <row r="38">
          <cell r="B38">
            <v>4</v>
          </cell>
          <cell r="C38">
            <v>4</v>
          </cell>
        </row>
        <row r="39">
          <cell r="B39">
            <v>5</v>
          </cell>
          <cell r="C39">
            <v>5</v>
          </cell>
        </row>
        <row r="40">
          <cell r="B40">
            <v>6</v>
          </cell>
          <cell r="C40">
            <v>6</v>
          </cell>
        </row>
        <row r="41">
          <cell r="B41">
            <v>7</v>
          </cell>
          <cell r="C41">
            <v>7</v>
          </cell>
        </row>
        <row r="42">
          <cell r="B42">
            <v>8</v>
          </cell>
          <cell r="C42">
            <v>8</v>
          </cell>
        </row>
        <row r="43">
          <cell r="B43">
            <v>9</v>
          </cell>
          <cell r="C43">
            <v>9</v>
          </cell>
        </row>
        <row r="44">
          <cell r="B44">
            <v>10</v>
          </cell>
          <cell r="C44">
            <v>10</v>
          </cell>
        </row>
        <row r="45">
          <cell r="B45">
            <v>11</v>
          </cell>
          <cell r="C45">
            <v>11</v>
          </cell>
        </row>
        <row r="46">
          <cell r="B46">
            <v>12</v>
          </cell>
          <cell r="C46">
            <v>12</v>
          </cell>
        </row>
        <row r="47">
          <cell r="B47">
            <v>13</v>
          </cell>
        </row>
        <row r="48">
          <cell r="B48">
            <v>14</v>
          </cell>
        </row>
        <row r="49">
          <cell r="B49">
            <v>15</v>
          </cell>
        </row>
        <row r="50">
          <cell r="B50">
            <v>16</v>
          </cell>
        </row>
        <row r="51">
          <cell r="B51">
            <v>17</v>
          </cell>
        </row>
        <row r="52">
          <cell r="B52">
            <v>18</v>
          </cell>
        </row>
        <row r="53">
          <cell r="B53">
            <v>19</v>
          </cell>
        </row>
        <row r="54">
          <cell r="B54">
            <v>20</v>
          </cell>
        </row>
        <row r="55">
          <cell r="B55">
            <v>21</v>
          </cell>
        </row>
        <row r="56">
          <cell r="B56">
            <v>22</v>
          </cell>
        </row>
        <row r="57">
          <cell r="B57">
            <v>23</v>
          </cell>
        </row>
        <row r="58">
          <cell r="B58">
            <v>24</v>
          </cell>
        </row>
        <row r="59">
          <cell r="B59">
            <v>25</v>
          </cell>
        </row>
        <row r="60">
          <cell r="B60">
            <v>26</v>
          </cell>
        </row>
        <row r="61">
          <cell r="B61">
            <v>27</v>
          </cell>
        </row>
        <row r="62">
          <cell r="B62">
            <v>28</v>
          </cell>
        </row>
        <row r="63">
          <cell r="B63">
            <v>29</v>
          </cell>
        </row>
        <row r="64">
          <cell r="B64">
            <v>30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ngabeseite">
    <tabColor indexed="10"/>
  </sheetPr>
  <dimension ref="A1:M259"/>
  <sheetViews>
    <sheetView zoomScale="70" zoomScaleNormal="70" zoomScaleSheetLayoutView="75" workbookViewId="0">
      <selection activeCell="K200" sqref="K200"/>
    </sheetView>
  </sheetViews>
  <sheetFormatPr baseColWidth="10" defaultRowHeight="12.75" x14ac:dyDescent="0.2"/>
  <cols>
    <col min="1" max="1" width="36.5703125" customWidth="1"/>
    <col min="2" max="2" width="21" style="12" customWidth="1"/>
    <col min="3" max="3" width="12" style="12" customWidth="1"/>
    <col min="4" max="4" width="20.5703125" style="64" customWidth="1"/>
    <col min="5" max="5" width="1.5703125" style="1" customWidth="1"/>
    <col min="6" max="6" width="13" customWidth="1"/>
    <col min="7" max="7" width="28" customWidth="1"/>
    <col min="8" max="8" width="20.28515625" customWidth="1"/>
    <col min="9" max="9" width="10.7109375" customWidth="1"/>
    <col min="10" max="10" width="20.7109375" customWidth="1"/>
    <col min="11" max="11" width="18.7109375" customWidth="1"/>
  </cols>
  <sheetData>
    <row r="1" spans="1:13" ht="32.1" customHeight="1" x14ac:dyDescent="0.35">
      <c r="A1" s="1037" t="str">
        <f>'Standard Vorgaben'!A1</f>
        <v>Arbokost 2023</v>
      </c>
      <c r="B1" s="718" t="str">
        <f>'Standard Erstellung'!B1</f>
        <v>Tafelbirnen</v>
      </c>
      <c r="C1" s="724" t="s">
        <v>175</v>
      </c>
      <c r="D1" s="447" t="str">
        <f>'Standard Erstellung'!C1</f>
        <v>Conférence</v>
      </c>
      <c r="E1" s="99"/>
      <c r="F1" s="452"/>
      <c r="G1" s="719">
        <f>'Standard Vorgaben'!B12</f>
        <v>2000</v>
      </c>
      <c r="H1" s="450" t="str">
        <f>'Standard Vorgaben'!B13</f>
        <v>Spindel</v>
      </c>
      <c r="I1" s="452"/>
      <c r="J1" s="452"/>
      <c r="L1" s="363"/>
      <c r="M1" s="106"/>
    </row>
    <row r="2" spans="1:13" ht="20.25" x14ac:dyDescent="0.3">
      <c r="B2" s="845" t="str">
        <f>'Standard Vorgaben'!B14:G14</f>
        <v>Niederstammanlage mit Drahtgerüst und Zaun (mit Hagelnetz, mit Bewässerung, mit Insektennezt)</v>
      </c>
      <c r="C2" s="720"/>
      <c r="D2" s="448"/>
      <c r="E2" s="610"/>
      <c r="F2" s="447"/>
      <c r="G2" s="447"/>
      <c r="H2" s="447"/>
      <c r="I2" s="447"/>
      <c r="J2" s="453"/>
      <c r="K2" s="1"/>
      <c r="L2" s="364"/>
      <c r="M2" s="106"/>
    </row>
    <row r="3" spans="1:13" ht="18" customHeight="1" x14ac:dyDescent="0.3">
      <c r="A3" s="447"/>
      <c r="B3" s="721" t="str">
        <f>'Standard Vorgaben'!A29</f>
        <v>Aufbauphase</v>
      </c>
      <c r="C3" s="722">
        <f>'Standard Vorgaben'!B29</f>
        <v>5</v>
      </c>
      <c r="D3" s="723" t="str">
        <f>'Standard Vorgaben'!A30</f>
        <v>Ertragsphase</v>
      </c>
      <c r="E3" s="99"/>
      <c r="F3" s="722">
        <f>'Standard Vorgaben'!B30</f>
        <v>15</v>
      </c>
      <c r="G3" s="453" t="str">
        <f>'Standard Vorgaben'!B11</f>
        <v>ÖLN</v>
      </c>
      <c r="H3" s="447"/>
      <c r="I3" s="447"/>
      <c r="J3" s="447"/>
    </row>
    <row r="4" spans="1:13" ht="14.65" customHeight="1" x14ac:dyDescent="0.2">
      <c r="A4" s="1259" t="s">
        <v>611</v>
      </c>
      <c r="B4" s="1259"/>
      <c r="C4" s="1259"/>
      <c r="D4" s="1259"/>
      <c r="E4" s="1259"/>
      <c r="F4" s="1259"/>
      <c r="G4" s="1259"/>
      <c r="H4" s="1259"/>
      <c r="I4" s="1259"/>
      <c r="J4" s="1259"/>
      <c r="K4" s="1259"/>
    </row>
    <row r="5" spans="1:13" ht="27" customHeight="1" thickBot="1" x14ac:dyDescent="0.35">
      <c r="A5" s="865"/>
      <c r="B5" s="245" t="s">
        <v>70</v>
      </c>
      <c r="C5" s="170" t="s">
        <v>118</v>
      </c>
      <c r="D5" s="362" t="s">
        <v>338</v>
      </c>
      <c r="F5" s="725"/>
      <c r="G5" s="596"/>
      <c r="H5" s="169" t="s">
        <v>70</v>
      </c>
      <c r="I5" s="170" t="s">
        <v>117</v>
      </c>
      <c r="J5" s="342" t="s">
        <v>115</v>
      </c>
      <c r="K5" s="244"/>
    </row>
    <row r="6" spans="1:13" ht="31.5" customHeight="1" x14ac:dyDescent="0.2">
      <c r="A6" s="1027" t="str">
        <f>'Standard Vorgaben'!B16</f>
        <v>Klasse I</v>
      </c>
      <c r="B6" s="729">
        <f>'Standard Vorgaben'!B71</f>
        <v>1.2199999999999998</v>
      </c>
      <c r="C6" s="334">
        <f t="shared" ref="C6:C13" si="0">IF(OR(B6=0,B6=""),0,(D6/B6)-1)</f>
        <v>2.2204460492503131E-16</v>
      </c>
      <c r="D6" s="1198">
        <v>1.22</v>
      </c>
      <c r="F6" s="1258" t="s">
        <v>311</v>
      </c>
      <c r="G6" s="1258"/>
      <c r="H6" s="741">
        <f>H64</f>
        <v>3.2648009810783281</v>
      </c>
      <c r="I6" s="745">
        <f>I64</f>
        <v>-2.2353915738448915E-4</v>
      </c>
      <c r="J6" s="741">
        <f>J64</f>
        <v>3.2640711702179899</v>
      </c>
      <c r="K6" s="17"/>
    </row>
    <row r="7" spans="1:13" ht="24" customHeight="1" x14ac:dyDescent="0.2">
      <c r="A7" s="1028" t="str">
        <f>'Standard Vorgaben'!C16</f>
        <v>Klasse II</v>
      </c>
      <c r="B7" s="730">
        <f>'Standard Vorgaben'!C71</f>
        <v>0.40000000000000008</v>
      </c>
      <c r="C7" s="333">
        <f t="shared" si="0"/>
        <v>-1.1102230246251565E-16</v>
      </c>
      <c r="D7" s="1202">
        <v>0.4</v>
      </c>
      <c r="F7" s="1257" t="s">
        <v>354</v>
      </c>
      <c r="G7" s="1257"/>
      <c r="H7" s="742">
        <f>H61</f>
        <v>10.349221096733206</v>
      </c>
      <c r="I7" s="746">
        <f>I61</f>
        <v>-4.3121846953764198E-5</v>
      </c>
      <c r="J7" s="742">
        <f>J61</f>
        <v>10.348774819204982</v>
      </c>
      <c r="K7" s="17"/>
    </row>
    <row r="8" spans="1:13" ht="21" customHeight="1" x14ac:dyDescent="0.2">
      <c r="A8" s="1028" t="str">
        <f>'Standard Vorgaben'!D16</f>
        <v>Mostobst total</v>
      </c>
      <c r="B8" s="731">
        <f>'Standard Vorgaben'!D71</f>
        <v>0</v>
      </c>
      <c r="C8" s="333">
        <f t="shared" si="0"/>
        <v>0</v>
      </c>
      <c r="D8" s="1202">
        <v>0</v>
      </c>
      <c r="F8" s="1258" t="s">
        <v>312</v>
      </c>
      <c r="G8" s="1258"/>
      <c r="H8" s="743">
        <f>B45</f>
        <v>1.7069943981570017</v>
      </c>
      <c r="I8" s="747">
        <f>C45</f>
        <v>6.4275035809302494E-6</v>
      </c>
      <c r="J8" s="743">
        <f>D45</f>
        <v>1.7070053698696086</v>
      </c>
      <c r="K8" s="17"/>
    </row>
    <row r="9" spans="1:13" ht="26.25" customHeight="1" x14ac:dyDescent="0.2">
      <c r="A9" s="1029" t="str">
        <f>'Standard Vorgaben'!B16</f>
        <v>Klasse I</v>
      </c>
      <c r="B9" s="732">
        <f>'Standard Vorgaben'!B96</f>
        <v>0.69999999999999984</v>
      </c>
      <c r="C9" s="334">
        <f t="shared" si="0"/>
        <v>2.2204460492503131E-16</v>
      </c>
      <c r="D9" s="1199">
        <v>0.7</v>
      </c>
      <c r="F9" s="1257" t="s">
        <v>340</v>
      </c>
      <c r="G9" s="1260"/>
      <c r="H9" s="744">
        <f>B43</f>
        <v>1.2228795934337864</v>
      </c>
      <c r="I9" s="748">
        <f>C43</f>
        <v>6.4275035809302494E-6</v>
      </c>
      <c r="J9" s="744">
        <f>D43</f>
        <v>1.2228874534967522</v>
      </c>
      <c r="K9" s="17"/>
    </row>
    <row r="10" spans="1:13" ht="16.5" customHeight="1" x14ac:dyDescent="0.2">
      <c r="A10" s="1028" t="str">
        <f>'Standard Vorgaben'!C16</f>
        <v>Klasse II</v>
      </c>
      <c r="B10" s="732">
        <f>'Standard Vorgaben'!C96</f>
        <v>5.000000000000001E-2</v>
      </c>
      <c r="C10" s="333">
        <f t="shared" si="0"/>
        <v>-1.1102230246251565E-16</v>
      </c>
      <c r="D10" s="1200">
        <v>0.05</v>
      </c>
      <c r="K10" s="17"/>
    </row>
    <row r="11" spans="1:13" x14ac:dyDescent="0.2">
      <c r="A11" s="1028" t="str">
        <f>'Standard Vorgaben'!E16</f>
        <v>Mostobst Sortierabgang</v>
      </c>
      <c r="B11" s="733">
        <f>'Standard Vorgaben'!D96</f>
        <v>0.10000000000000002</v>
      </c>
      <c r="C11" s="333">
        <f t="shared" si="0"/>
        <v>-1.1102230246251565E-16</v>
      </c>
      <c r="D11" s="1200">
        <v>0.1</v>
      </c>
      <c r="K11" s="17"/>
    </row>
    <row r="12" spans="1:13" x14ac:dyDescent="0.2">
      <c r="A12" s="1030" t="str">
        <f>'Standard Vorgaben'!F16</f>
        <v>Mostobst</v>
      </c>
      <c r="B12" s="733">
        <f>'Standard Vorgaben'!E96</f>
        <v>0.14999999999999997</v>
      </c>
      <c r="C12" s="333">
        <f t="shared" si="0"/>
        <v>2.2204460492503131E-16</v>
      </c>
      <c r="D12" s="1201">
        <v>0.15</v>
      </c>
      <c r="K12" s="17"/>
    </row>
    <row r="13" spans="1:13" ht="29.25" customHeight="1" x14ac:dyDescent="0.2">
      <c r="A13" s="726" t="s">
        <v>393</v>
      </c>
      <c r="B13" s="1021">
        <f>'Standard Vorgaben'!E70</f>
        <v>32000</v>
      </c>
      <c r="C13" s="359">
        <f t="shared" si="0"/>
        <v>0</v>
      </c>
      <c r="D13" s="1203">
        <v>32000</v>
      </c>
      <c r="F13" s="17"/>
      <c r="G13" s="17"/>
      <c r="H13" s="17"/>
      <c r="I13" s="17"/>
      <c r="J13" s="17"/>
      <c r="K13" s="17"/>
    </row>
    <row r="14" spans="1:13" x14ac:dyDescent="0.2">
      <c r="A14" s="727"/>
      <c r="B14" s="734"/>
      <c r="C14" s="360"/>
      <c r="D14" s="1204"/>
      <c r="F14" s="17"/>
      <c r="G14" s="17"/>
      <c r="H14" s="17"/>
      <c r="I14" s="17"/>
      <c r="J14" s="17"/>
      <c r="K14" s="17"/>
    </row>
    <row r="15" spans="1:13" ht="26.25" customHeight="1" x14ac:dyDescent="0.2">
      <c r="A15" s="704" t="s">
        <v>394</v>
      </c>
      <c r="B15" s="735">
        <f>'Standard Vorgaben'!G96</f>
        <v>125</v>
      </c>
      <c r="C15" s="334">
        <f t="shared" ref="C15:C20" si="1">IF(OR(B15=0,B15=""),0,(D15/B15)-1)</f>
        <v>0</v>
      </c>
      <c r="D15" s="1205">
        <v>125</v>
      </c>
      <c r="F15" s="17"/>
      <c r="G15" s="17"/>
      <c r="H15" s="17"/>
      <c r="I15" s="17"/>
      <c r="J15" s="17"/>
      <c r="K15" s="17"/>
    </row>
    <row r="16" spans="1:13" ht="18.75" customHeight="1" x14ac:dyDescent="0.2">
      <c r="A16" s="704" t="s">
        <v>416</v>
      </c>
      <c r="B16" s="736">
        <f>'Standard Vorgaben'!C34</f>
        <v>41.4</v>
      </c>
      <c r="C16" s="333">
        <f t="shared" si="1"/>
        <v>0</v>
      </c>
      <c r="D16" s="1206">
        <v>41.4</v>
      </c>
      <c r="F16" s="17"/>
      <c r="G16" s="17"/>
      <c r="H16" s="17"/>
      <c r="I16" s="17"/>
      <c r="J16" s="17"/>
      <c r="K16" s="17"/>
    </row>
    <row r="17" spans="1:11" ht="31.5" customHeight="1" x14ac:dyDescent="0.2">
      <c r="A17" s="704" t="s">
        <v>395</v>
      </c>
      <c r="B17" s="736">
        <f>'Standard Vorgaben'!C35</f>
        <v>24</v>
      </c>
      <c r="C17" s="334">
        <f t="shared" si="1"/>
        <v>0</v>
      </c>
      <c r="D17" s="1206">
        <v>24</v>
      </c>
      <c r="F17" s="17"/>
      <c r="G17" s="17"/>
      <c r="H17" s="17"/>
      <c r="I17" s="17"/>
      <c r="J17" s="17"/>
      <c r="K17" s="17"/>
    </row>
    <row r="18" spans="1:11" ht="34.5" customHeight="1" x14ac:dyDescent="0.2">
      <c r="A18" s="704" t="s">
        <v>396</v>
      </c>
      <c r="B18" s="736">
        <f>'Standard Vorgaben'!C36</f>
        <v>21.5</v>
      </c>
      <c r="C18" s="334">
        <f t="shared" si="1"/>
        <v>0</v>
      </c>
      <c r="D18" s="1206">
        <v>21.5</v>
      </c>
      <c r="F18" s="17"/>
      <c r="G18" s="17"/>
      <c r="H18" s="17"/>
      <c r="I18" s="17"/>
      <c r="J18" s="17"/>
      <c r="K18" s="17"/>
    </row>
    <row r="19" spans="1:11" ht="33.75" customHeight="1" x14ac:dyDescent="0.2">
      <c r="A19" s="728" t="s">
        <v>201</v>
      </c>
      <c r="B19" s="737">
        <f>'Standard Vorgaben'!F36</f>
        <v>0.85</v>
      </c>
      <c r="C19" s="333">
        <f t="shared" si="1"/>
        <v>0</v>
      </c>
      <c r="D19" s="1200">
        <v>0.85</v>
      </c>
      <c r="F19" s="17"/>
      <c r="G19" s="17"/>
      <c r="H19" s="17"/>
      <c r="I19" s="17"/>
      <c r="J19" s="17"/>
      <c r="K19" s="17"/>
    </row>
    <row r="20" spans="1:11" x14ac:dyDescent="0.2">
      <c r="A20" s="727" t="s">
        <v>339</v>
      </c>
      <c r="B20" s="738">
        <f>'Standard Vorgaben'!E102</f>
        <v>40</v>
      </c>
      <c r="C20" s="333">
        <f t="shared" si="1"/>
        <v>0</v>
      </c>
      <c r="D20" s="1207">
        <v>40</v>
      </c>
      <c r="F20" s="17"/>
      <c r="G20" s="17"/>
      <c r="H20" s="17"/>
      <c r="I20" s="17"/>
      <c r="J20" s="17"/>
      <c r="K20" s="17"/>
    </row>
    <row r="21" spans="1:11" x14ac:dyDescent="0.2">
      <c r="A21" s="727"/>
      <c r="B21" s="734"/>
      <c r="C21" s="360"/>
      <c r="D21" s="757"/>
      <c r="F21" s="17"/>
      <c r="G21" s="17"/>
      <c r="H21" s="17"/>
      <c r="I21" s="17"/>
      <c r="J21" s="17"/>
      <c r="K21" s="17"/>
    </row>
    <row r="22" spans="1:11" ht="22.5" customHeight="1" x14ac:dyDescent="0.2">
      <c r="A22" s="726" t="s">
        <v>397</v>
      </c>
      <c r="B22" s="1020">
        <f>'Standard Vorgaben'!B26</f>
        <v>2000</v>
      </c>
      <c r="C22" s="354">
        <f>IF(OR(B22=0,B22=""),0,(D22/B22)-1)</f>
        <v>0</v>
      </c>
      <c r="D22" s="758">
        <v>2000</v>
      </c>
      <c r="F22" s="17"/>
      <c r="G22" s="17"/>
      <c r="H22" s="17"/>
      <c r="I22" s="17"/>
      <c r="J22" s="17"/>
      <c r="K22" s="17"/>
    </row>
    <row r="23" spans="1:11" ht="19.5" customHeight="1" x14ac:dyDescent="0.2">
      <c r="A23" s="726" t="s">
        <v>9</v>
      </c>
      <c r="B23" s="739">
        <f>'Standard Vorgaben'!C33</f>
        <v>10</v>
      </c>
      <c r="C23" s="333">
        <f>IF(OR(B23=0,B23=""),0,(D23/B23)-1)</f>
        <v>0</v>
      </c>
      <c r="D23" s="760">
        <v>10</v>
      </c>
      <c r="F23" s="17"/>
      <c r="G23" s="17"/>
      <c r="H23" s="17"/>
      <c r="I23" s="17"/>
      <c r="J23" s="17"/>
      <c r="K23" s="17"/>
    </row>
    <row r="24" spans="1:11" s="1" customFormat="1" ht="16.5" customHeight="1" x14ac:dyDescent="0.2">
      <c r="A24" s="704"/>
      <c r="B24" s="731"/>
      <c r="C24" s="333"/>
      <c r="D24" s="759"/>
      <c r="F24" s="23"/>
      <c r="G24" s="23"/>
      <c r="H24" s="23"/>
      <c r="I24" s="23"/>
      <c r="J24" s="23"/>
      <c r="K24" s="23"/>
    </row>
    <row r="25" spans="1:11" ht="19.5" customHeight="1" x14ac:dyDescent="0.2">
      <c r="A25" s="704" t="s">
        <v>313</v>
      </c>
      <c r="B25" s="739">
        <f>'Standard Ertragsphase'!F48</f>
        <v>4870.7833333333338</v>
      </c>
      <c r="C25" s="333">
        <f>IF(OR(B25=0,B25=""),0,(D25/B25)-1)</f>
        <v>4.4482920269484083E-5</v>
      </c>
      <c r="D25" s="760">
        <v>4871</v>
      </c>
      <c r="F25" s="17"/>
      <c r="G25" s="17"/>
      <c r="H25" s="17"/>
      <c r="I25" s="17"/>
      <c r="J25" s="17"/>
      <c r="K25" s="17"/>
    </row>
    <row r="26" spans="1:11" ht="30" customHeight="1" x14ac:dyDescent="0.2">
      <c r="A26" s="704" t="s">
        <v>108</v>
      </c>
      <c r="B26" s="739">
        <f>'Standard Ertragsphase'!F24-'Standard Ertragsphase'!F23</f>
        <v>4240</v>
      </c>
      <c r="C26" s="333">
        <f>IF(OR(B26=0,B26=""),0,(D26/B26)-1)</f>
        <v>0</v>
      </c>
      <c r="D26" s="760">
        <v>4240</v>
      </c>
      <c r="F26" s="17"/>
      <c r="G26" s="17"/>
      <c r="H26" s="17"/>
      <c r="I26" s="17"/>
      <c r="J26" s="17"/>
      <c r="K26" s="17"/>
    </row>
    <row r="27" spans="1:11" ht="19.5" customHeight="1" x14ac:dyDescent="0.2">
      <c r="A27" s="308" t="s">
        <v>314</v>
      </c>
      <c r="B27" s="739">
        <f>'Standard Ertragsphase'!F18+'Standard Ertragsphase'!F23</f>
        <v>1152</v>
      </c>
      <c r="C27" s="333">
        <f>IF(OR(B27=0,B27=""),0,(D27/B27)-1)</f>
        <v>0</v>
      </c>
      <c r="D27" s="760">
        <v>1152</v>
      </c>
      <c r="F27" s="17"/>
      <c r="G27" s="17"/>
      <c r="H27" s="17"/>
      <c r="I27" s="17"/>
      <c r="J27" s="17"/>
      <c r="K27" s="17"/>
    </row>
    <row r="28" spans="1:11" x14ac:dyDescent="0.2">
      <c r="A28" s="727"/>
      <c r="B28" s="734"/>
      <c r="C28" s="360"/>
      <c r="D28" s="757"/>
      <c r="F28" s="17"/>
      <c r="G28" s="17"/>
      <c r="H28" s="17"/>
      <c r="I28" s="17"/>
      <c r="J28" s="17"/>
      <c r="K28" s="17"/>
    </row>
    <row r="29" spans="1:11" ht="15.75" customHeight="1" x14ac:dyDescent="0.2">
      <c r="A29" s="726" t="s">
        <v>10</v>
      </c>
      <c r="B29" s="740">
        <f>'Standard Vorgaben'!C42</f>
        <v>1.4999999999999999E-2</v>
      </c>
      <c r="C29" s="354">
        <f>IF(OR(B29=0,B29=""),0,(D29/B29)-1)</f>
        <v>0</v>
      </c>
      <c r="D29" s="761">
        <v>1.4999999999999999E-2</v>
      </c>
      <c r="F29" s="17"/>
      <c r="G29" s="17"/>
      <c r="H29" s="17"/>
      <c r="I29" s="17"/>
      <c r="J29" s="17"/>
      <c r="K29" s="17"/>
    </row>
    <row r="30" spans="1:11" x14ac:dyDescent="0.2">
      <c r="A30" s="1"/>
      <c r="B30" s="46"/>
      <c r="C30" s="46"/>
      <c r="D30" s="106"/>
      <c r="F30" s="1"/>
      <c r="G30" s="1"/>
      <c r="H30" s="1"/>
      <c r="I30" s="1"/>
      <c r="J30" s="1"/>
    </row>
    <row r="31" spans="1:11" s="301" customFormat="1" ht="54" customHeight="1" x14ac:dyDescent="0.2">
      <c r="A31" s="1261" t="s">
        <v>398</v>
      </c>
      <c r="B31" s="1262"/>
      <c r="C31" s="1262"/>
      <c r="D31" s="1262"/>
      <c r="E31" s="344"/>
      <c r="F31" s="1261" t="s">
        <v>315</v>
      </c>
      <c r="G31" s="1261"/>
      <c r="H31" s="1261"/>
      <c r="I31" s="1261"/>
      <c r="J31" s="1263"/>
    </row>
    <row r="32" spans="1:11" s="301" customFormat="1" ht="33" customHeight="1" x14ac:dyDescent="0.2">
      <c r="A32" s="340"/>
      <c r="B32" s="169" t="s">
        <v>70</v>
      </c>
      <c r="C32" s="341" t="s">
        <v>117</v>
      </c>
      <c r="D32" s="342" t="s">
        <v>115</v>
      </c>
      <c r="E32" s="306"/>
      <c r="F32" s="306"/>
      <c r="H32" s="169" t="s">
        <v>70</v>
      </c>
      <c r="I32" s="341" t="s">
        <v>117</v>
      </c>
      <c r="J32" s="342" t="s">
        <v>115</v>
      </c>
    </row>
    <row r="33" spans="1:10" s="1" customFormat="1" ht="6.75" customHeight="1" x14ac:dyDescent="0.25">
      <c r="A33" s="125"/>
      <c r="B33" s="338"/>
      <c r="C33" s="250"/>
      <c r="D33" s="339"/>
    </row>
    <row r="34" spans="1:10" s="301" customFormat="1" ht="80.25" customHeight="1" x14ac:dyDescent="0.2">
      <c r="A34" s="762" t="s">
        <v>403</v>
      </c>
      <c r="B34" s="763">
        <f>'Standard Ertragsphase'!F13</f>
        <v>29067.999999999996</v>
      </c>
      <c r="C34" s="359">
        <f>IF(OR(B34=0,B34=""),0,(D34/B34)-1)</f>
        <v>0</v>
      </c>
      <c r="D34" s="763">
        <f>'Variante Ertragsphase'!F13</f>
        <v>29067.999999999996</v>
      </c>
      <c r="E34" s="306"/>
      <c r="F34" s="306"/>
      <c r="G34" s="764" t="s">
        <v>399</v>
      </c>
      <c r="H34" s="765">
        <f>'Standard Ertragsphase'!$F$74</f>
        <v>22234.998</v>
      </c>
      <c r="I34" s="354">
        <f>IF(OR(H34=0,H34=""),0,(J34/H34)-1)</f>
        <v>0</v>
      </c>
      <c r="J34" s="765">
        <f>'Variante Ertragsphase'!F75</f>
        <v>22234.998</v>
      </c>
    </row>
    <row r="35" spans="1:10" s="301" customFormat="1" ht="12" customHeight="1" x14ac:dyDescent="0.2">
      <c r="A35" s="374"/>
      <c r="C35" s="374"/>
      <c r="D35" s="374"/>
      <c r="E35" s="306"/>
      <c r="F35" s="306"/>
      <c r="G35" s="766"/>
      <c r="H35" s="766"/>
      <c r="I35" s="766"/>
      <c r="J35" s="766"/>
    </row>
    <row r="36" spans="1:10" s="301" customFormat="1" ht="32.25" customHeight="1" x14ac:dyDescent="0.2">
      <c r="A36" s="348" t="s">
        <v>295</v>
      </c>
      <c r="B36" s="298">
        <f>'Standard Ertragsphase'!F8</f>
        <v>27327.999999999996</v>
      </c>
      <c r="C36" s="333">
        <f>IF(OR(B36=0,B36=""),0,(D36/B36)-1)</f>
        <v>0</v>
      </c>
      <c r="D36" s="298">
        <f>'Variante Ertragsphase'!F8</f>
        <v>27327.999999999996</v>
      </c>
      <c r="E36" s="306"/>
      <c r="F36" s="306"/>
      <c r="G36" s="767" t="s">
        <v>302</v>
      </c>
      <c r="H36" s="768">
        <f>'Standard Ertragsphase'!$F$66</f>
        <v>-10064.146989881167</v>
      </c>
      <c r="I36" s="354">
        <f>IF(OR(H36=0,H36=""),0,(J36/H36)-1)</f>
        <v>2.4991886064418267E-5</v>
      </c>
      <c r="J36" s="768">
        <f>'Variante Ertragsphase'!$F$67</f>
        <v>-10064.398511896074</v>
      </c>
    </row>
    <row r="37" spans="1:10" s="301" customFormat="1" ht="18" customHeight="1" x14ac:dyDescent="0.2">
      <c r="A37" s="348" t="s">
        <v>296</v>
      </c>
      <c r="B37" s="298">
        <f>'Standard Ertragsphase'!F9</f>
        <v>640.00000000000023</v>
      </c>
      <c r="C37" s="333">
        <f>IF(OR(B37=0,B37=""),0,(D37/B37)-1)</f>
        <v>0</v>
      </c>
      <c r="D37" s="298">
        <f>'Variante Ertragsphase'!F9</f>
        <v>640.00000000000023</v>
      </c>
      <c r="E37" s="306"/>
      <c r="F37" s="306"/>
      <c r="G37" s="374"/>
      <c r="H37" s="374"/>
      <c r="I37" s="374"/>
      <c r="J37" s="374"/>
    </row>
    <row r="38" spans="1:10" s="301" customFormat="1" ht="43.5" customHeight="1" x14ac:dyDescent="0.2">
      <c r="A38" s="348" t="s">
        <v>297</v>
      </c>
      <c r="B38" s="298">
        <f>'Standard Ertragsphase'!F10</f>
        <v>0</v>
      </c>
      <c r="C38" s="333">
        <f>IF(OR(B38=0,B38=""),0,(D38/B38)-1)</f>
        <v>0</v>
      </c>
      <c r="D38" s="298">
        <f>'Variante Ertragsphase'!F10</f>
        <v>0</v>
      </c>
      <c r="E38" s="306"/>
      <c r="F38" s="306"/>
      <c r="G38" s="752" t="s">
        <v>400</v>
      </c>
      <c r="H38" s="753">
        <f>'Standard Ertragsphase'!$F$67</f>
        <v>0.74281638591198262</v>
      </c>
      <c r="I38" s="333">
        <f>IF(OR(H38=0,H38=""),0,(J38/H38)-1)</f>
        <v>-6.4274622684212801E-6</v>
      </c>
      <c r="J38" s="754">
        <f>'Variante Ertragsphase'!$F$68</f>
        <v>0.74281161148768982</v>
      </c>
    </row>
    <row r="39" spans="1:10" s="301" customFormat="1" ht="18" customHeight="1" x14ac:dyDescent="0.2">
      <c r="A39" s="348" t="s">
        <v>298</v>
      </c>
      <c r="B39" s="298">
        <f>'Standard Ertragsphase'!F12</f>
        <v>1100</v>
      </c>
      <c r="C39" s="333">
        <f>IF(OR(B39=0,B39=""),0,(D39/B39)-1)</f>
        <v>0</v>
      </c>
      <c r="D39" s="298">
        <f>'Variante Ertragsphase'!F12</f>
        <v>1100</v>
      </c>
      <c r="E39" s="306"/>
      <c r="F39" s="306"/>
      <c r="G39" s="374"/>
      <c r="H39" s="374"/>
      <c r="I39" s="374"/>
      <c r="J39" s="374"/>
    </row>
    <row r="40" spans="1:10" s="301" customFormat="1" ht="8.25" customHeight="1" x14ac:dyDescent="0.2">
      <c r="A40" s="348"/>
      <c r="B40" s="298"/>
      <c r="C40" s="333"/>
      <c r="D40" s="298"/>
      <c r="E40" s="306"/>
      <c r="F40" s="306"/>
      <c r="G40" s="374"/>
      <c r="H40" s="374"/>
      <c r="I40" s="374"/>
      <c r="J40" s="374"/>
    </row>
    <row r="41" spans="1:10" s="301" customFormat="1" ht="16.5" customHeight="1" x14ac:dyDescent="0.2">
      <c r="A41" s="374"/>
      <c r="B41" s="309"/>
      <c r="C41" s="333"/>
      <c r="D41" s="309"/>
      <c r="E41" s="306"/>
      <c r="F41" s="306"/>
      <c r="G41" s="374"/>
      <c r="H41" s="374"/>
      <c r="I41" s="374"/>
      <c r="J41" s="374"/>
    </row>
    <row r="42" spans="1:10" s="301" customFormat="1" ht="18" x14ac:dyDescent="0.2">
      <c r="A42" s="769" t="s">
        <v>404</v>
      </c>
      <c r="B42" s="770">
        <f>'Standard Ertragsphase'!$F$65</f>
        <v>39132.146989881163</v>
      </c>
      <c r="C42" s="354">
        <f>IF(OR(B42=0,B42=""),0,(D42/B42)-1)</f>
        <v>6.4275035809302494E-6</v>
      </c>
      <c r="D42" s="770">
        <f>'Variante Ertragsphase'!$F$66</f>
        <v>39132.39851189607</v>
      </c>
      <c r="E42" s="306"/>
      <c r="F42" s="306"/>
      <c r="G42" s="374"/>
      <c r="H42" s="374"/>
      <c r="I42" s="374"/>
      <c r="J42" s="374"/>
    </row>
    <row r="43" spans="1:10" s="301" customFormat="1" ht="59.25" customHeight="1" x14ac:dyDescent="0.2">
      <c r="A43" s="756"/>
      <c r="B43" s="749">
        <f>'Standard Ertragsphase'!$F$78</f>
        <v>1.2228795934337864</v>
      </c>
      <c r="C43" s="333">
        <f>IF(OR(B43=0,B43=""),0,(D43/B43)-1)</f>
        <v>6.4275035809302494E-6</v>
      </c>
      <c r="D43" s="755">
        <f>'Variante Ertragsphase'!$F$79</f>
        <v>1.2228874534967522</v>
      </c>
      <c r="E43" s="306"/>
      <c r="F43" s="306"/>
      <c r="G43" s="773" t="s">
        <v>401</v>
      </c>
      <c r="H43" s="774">
        <f>'Standard Ertragsphase'!$F$77</f>
        <v>-6.6029634808790941E-2</v>
      </c>
      <c r="I43" s="354">
        <f>IF(OR(H43=0,H43=""),0,(J43/H43)-1)</f>
        <v>2.3199708274912467E-5</v>
      </c>
      <c r="J43" s="774">
        <f>'Variante Ertragsphase'!$F$78</f>
        <v>-6.6031166677056011E-2</v>
      </c>
    </row>
    <row r="44" spans="1:10" s="301" customFormat="1" ht="4.5" customHeight="1" x14ac:dyDescent="0.2">
      <c r="A44" s="336"/>
      <c r="B44" s="734"/>
      <c r="C44" s="333"/>
      <c r="D44" s="729"/>
      <c r="E44" s="306"/>
      <c r="F44" s="306"/>
      <c r="G44" s="374"/>
      <c r="H44" s="374"/>
      <c r="I44" s="374"/>
      <c r="J44" s="374"/>
    </row>
    <row r="45" spans="1:10" s="301" customFormat="1" ht="21.75" customHeight="1" x14ac:dyDescent="0.2">
      <c r="A45" s="771" t="s">
        <v>299</v>
      </c>
      <c r="B45" s="772">
        <f>'Standard Ertragsphase'!$F$80</f>
        <v>1.7069943981570017</v>
      </c>
      <c r="C45" s="354">
        <f>IF(OR(B45=0,B45=""),0,(D45/B45)-1)</f>
        <v>6.4275035809302494E-6</v>
      </c>
      <c r="D45" s="772">
        <f>'Variante Ertragsphase'!$F$81</f>
        <v>1.7070053698696086</v>
      </c>
      <c r="E45" s="306"/>
      <c r="F45" s="306"/>
      <c r="G45" s="374"/>
      <c r="H45" s="374"/>
      <c r="I45" s="374"/>
      <c r="J45" s="374"/>
    </row>
    <row r="46" spans="1:10" s="301" customFormat="1" ht="18" customHeight="1" x14ac:dyDescent="0.2">
      <c r="A46" s="348" t="s">
        <v>251</v>
      </c>
      <c r="B46" s="343">
        <f>'Standard Ertragsphase'!$F$81</f>
        <v>0</v>
      </c>
      <c r="C46" s="333">
        <f>IF(OR(B46=0,B46=""),0,(D46/B46)-1)</f>
        <v>0</v>
      </c>
      <c r="D46" s="343">
        <f>'Variante Ertragsphase'!F82</f>
        <v>0.55967389176052751</v>
      </c>
      <c r="E46" s="306"/>
      <c r="F46" s="306"/>
      <c r="G46" s="374"/>
      <c r="H46" s="374"/>
      <c r="I46" s="374"/>
      <c r="J46" s="374"/>
    </row>
    <row r="47" spans="1:10" s="301" customFormat="1" ht="18" customHeight="1" x14ac:dyDescent="0.2">
      <c r="B47" s="303"/>
      <c r="C47" s="335"/>
      <c r="D47" s="336"/>
      <c r="E47" s="306"/>
      <c r="F47" s="306"/>
      <c r="G47" s="374"/>
      <c r="H47" s="374"/>
      <c r="I47" s="374"/>
      <c r="J47" s="374"/>
    </row>
    <row r="48" spans="1:10" s="301" customFormat="1" ht="36" customHeight="1" x14ac:dyDescent="0.2">
      <c r="A48" s="361" t="s">
        <v>317</v>
      </c>
      <c r="B48" s="345">
        <f>'Standard Erstellung'!E74</f>
        <v>84975.307555555541</v>
      </c>
      <c r="C48" s="350">
        <f>IF(OR(B48=0,B48=""),0,(D48/B48)-1)</f>
        <v>1.3205671769433991E-6</v>
      </c>
      <c r="D48" s="345">
        <f>'Variante Erstellung'!E74</f>
        <v>84975.419771157554</v>
      </c>
      <c r="E48" s="306"/>
      <c r="F48" s="306"/>
      <c r="G48" s="374"/>
      <c r="H48" s="374"/>
      <c r="I48" s="374"/>
      <c r="J48" s="374"/>
    </row>
    <row r="49" spans="1:10" s="301" customFormat="1" ht="63" customHeight="1" x14ac:dyDescent="0.2">
      <c r="A49" s="361" t="s">
        <v>316</v>
      </c>
      <c r="B49" s="345">
        <f>'Standard Ertragsphase'!C32</f>
        <v>134135.62541693175</v>
      </c>
      <c r="C49" s="350">
        <f>IF(OR(B49=0,B49=""),0,(D49/B49)-1)</f>
        <v>4.5749497807889838E-6</v>
      </c>
      <c r="D49" s="345">
        <f>'Variante Ertragsphase'!C33</f>
        <v>134136.23908068184</v>
      </c>
      <c r="E49" s="306"/>
      <c r="F49" s="306"/>
      <c r="G49" s="374"/>
      <c r="H49" s="374"/>
      <c r="I49" s="374"/>
      <c r="J49" s="374"/>
    </row>
    <row r="50" spans="1:10" s="301" customFormat="1" ht="44.25" customHeight="1" x14ac:dyDescent="0.2">
      <c r="A50" s="349" t="s">
        <v>300</v>
      </c>
      <c r="B50" s="347">
        <f>'Standard Ertragsphase'!$F$32</f>
        <v>8942.3750277954496</v>
      </c>
      <c r="C50" s="346">
        <f>IF(OR(B50=0,B50=""),0,(D50/B50)-1)</f>
        <v>4.5749497807889838E-6</v>
      </c>
      <c r="D50" s="347">
        <f>'Variante Ertragsphase'!F33</f>
        <v>8942.4159387121235</v>
      </c>
      <c r="E50" s="306"/>
      <c r="F50" s="306"/>
      <c r="G50" s="767" t="s">
        <v>402</v>
      </c>
      <c r="H50" s="768">
        <f>'Standard Ertragsphase'!F68</f>
        <v>-1121.771962085717</v>
      </c>
      <c r="I50" s="354">
        <f>IF(OR(H50=0,H50=""),0,(J50/H50)-1)</f>
        <v>1.8774858469594591E-4</v>
      </c>
      <c r="J50" s="768">
        <f>'Variante Ertragsphase'!F69</f>
        <v>-1121.9825731839501</v>
      </c>
    </row>
    <row r="51" spans="1:10" ht="22.5" customHeight="1" x14ac:dyDescent="0.2">
      <c r="A51" s="349" t="s">
        <v>301</v>
      </c>
      <c r="B51" s="347">
        <f>'Standard Ertragsphase'!$F$63</f>
        <v>1867.2206287523857</v>
      </c>
      <c r="C51" s="346">
        <f>IF(OR(B51=0,B51=""),0,(D51/B51)-1)</f>
        <v>2.9578581479672295E-6</v>
      </c>
      <c r="D51" s="347">
        <f>'Variante Ertragsphase'!F64</f>
        <v>1867.2261517261365</v>
      </c>
    </row>
    <row r="52" spans="1:10" s="301" customFormat="1" ht="13.5" customHeight="1" x14ac:dyDescent="0.2">
      <c r="A52" s="348"/>
      <c r="B52" s="298"/>
      <c r="C52" s="333"/>
      <c r="D52" s="298"/>
      <c r="E52" s="306"/>
      <c r="F52" s="306"/>
    </row>
    <row r="53" spans="1:10" s="301" customFormat="1" ht="54" customHeight="1" x14ac:dyDescent="0.2">
      <c r="A53" s="1261" t="s">
        <v>405</v>
      </c>
      <c r="B53" s="1262"/>
      <c r="C53" s="1262"/>
      <c r="D53" s="1262"/>
      <c r="E53" s="374"/>
      <c r="F53" s="1261" t="s">
        <v>315</v>
      </c>
      <c r="G53" s="1261"/>
      <c r="H53" s="1261"/>
      <c r="I53" s="1261"/>
      <c r="J53" s="1263"/>
    </row>
    <row r="54" spans="1:10" s="301" customFormat="1" ht="33" customHeight="1" x14ac:dyDescent="0.2">
      <c r="A54" s="340"/>
      <c r="B54" s="169" t="s">
        <v>70</v>
      </c>
      <c r="C54" s="341" t="s">
        <v>117</v>
      </c>
      <c r="D54" s="342" t="s">
        <v>115</v>
      </c>
      <c r="E54" s="306"/>
      <c r="F54" s="306"/>
      <c r="H54" s="169" t="s">
        <v>70</v>
      </c>
      <c r="I54" s="341" t="s">
        <v>117</v>
      </c>
      <c r="J54" s="342" t="s">
        <v>115</v>
      </c>
    </row>
    <row r="55" spans="1:10" s="306" customFormat="1" ht="8.25" customHeight="1" x14ac:dyDescent="0.2">
      <c r="A55" s="348"/>
      <c r="B55" s="298"/>
      <c r="C55" s="333"/>
      <c r="D55" s="298"/>
      <c r="I55" s="782"/>
      <c r="J55" s="782"/>
    </row>
    <row r="56" spans="1:10" s="301" customFormat="1" ht="51.75" customHeight="1" x14ac:dyDescent="0.2">
      <c r="A56" s="764" t="s">
        <v>409</v>
      </c>
      <c r="B56" s="750">
        <f>'Standard Ertragsphase'!$F$73</f>
        <v>12720.824972204548</v>
      </c>
      <c r="C56" s="333">
        <f>IF(OR(B56=0,B56=""),0,(D56/B56)-1)</f>
        <v>-3.2160584524376645E-6</v>
      </c>
      <c r="D56" s="750">
        <f>'Variante Ertragsphase'!F74</f>
        <v>12720.784061287874</v>
      </c>
      <c r="E56" s="306"/>
      <c r="F56" s="306"/>
      <c r="G56" s="767" t="s">
        <v>406</v>
      </c>
      <c r="H56" s="768">
        <f>'Variante Cashflow'!$C$40</f>
        <v>-137198.03076079115</v>
      </c>
      <c r="I56" s="354">
        <f>IF(OR(H56=0,H56=""),0,(J56/H56)-1)</f>
        <v>0</v>
      </c>
      <c r="J56" s="789">
        <f>'Variante Cashflow'!$C$40</f>
        <v>-137198.03076079115</v>
      </c>
    </row>
    <row r="57" spans="1:10" s="306" customFormat="1" ht="33" customHeight="1" x14ac:dyDescent="0.2">
      <c r="A57" s="348" t="s">
        <v>303</v>
      </c>
      <c r="B57" s="352">
        <f>'Standard Ertragsphase'!F34</f>
        <v>16347.175027795449</v>
      </c>
      <c r="C57" s="346">
        <f>IF(OR(B57=0,B57=""),0,(D57/B57)-1)</f>
        <v>2.5026291456953231E-6</v>
      </c>
      <c r="D57" s="352">
        <f>'Variante Ertragsphase'!F35</f>
        <v>16347.215938712123</v>
      </c>
      <c r="G57" s="751"/>
      <c r="H57" s="781"/>
      <c r="I57" s="783"/>
      <c r="J57" s="784"/>
    </row>
    <row r="58" spans="1:10" s="306" customFormat="1" ht="27.75" customHeight="1" x14ac:dyDescent="0.2">
      <c r="A58" s="348" t="s">
        <v>304</v>
      </c>
      <c r="B58" s="352">
        <f>'Standard Ertragsphase'!F64</f>
        <v>22784.971962085718</v>
      </c>
      <c r="C58" s="346">
        <f>IF(OR(B58=0,B58=""),0,(D58/B58)-1)</f>
        <v>9.2434214351566624E-6</v>
      </c>
      <c r="D58" s="352">
        <f>'Variante Ertragsphase'!F65</f>
        <v>22785.182573183949</v>
      </c>
      <c r="G58" s="751"/>
      <c r="H58" s="781"/>
      <c r="I58" s="785"/>
      <c r="J58" s="784"/>
    </row>
    <row r="59" spans="1:10" s="301" customFormat="1" ht="12.75" customHeight="1" x14ac:dyDescent="0.2">
      <c r="A59" s="348"/>
      <c r="B59" s="298"/>
      <c r="C59" s="333"/>
      <c r="D59" s="298"/>
      <c r="E59" s="306"/>
      <c r="F59" s="306"/>
      <c r="G59" s="374"/>
      <c r="H59" s="374"/>
      <c r="I59" s="782"/>
      <c r="J59" s="782"/>
    </row>
    <row r="60" spans="1:10" ht="30.75" customHeight="1" x14ac:dyDescent="0.2">
      <c r="A60" s="358" t="s">
        <v>68</v>
      </c>
      <c r="B60" s="352">
        <f>'Standard Ertragsphase'!F69</f>
        <v>23235.178989881162</v>
      </c>
      <c r="C60" s="346">
        <f t="shared" ref="C60:C65" si="2">IF(OR(B60=0,B60=""),0,(D60/B60)-1)</f>
        <v>1.0825051746543579E-5</v>
      </c>
      <c r="D60" s="352">
        <f>'Variante Ertragsphase'!F70</f>
        <v>23235.430511896069</v>
      </c>
      <c r="G60" s="99"/>
      <c r="H60" s="99"/>
      <c r="I60" s="4"/>
      <c r="J60" s="4"/>
    </row>
    <row r="61" spans="1:10" ht="61.5" customHeight="1" x14ac:dyDescent="0.2">
      <c r="A61" s="788" t="s">
        <v>410</v>
      </c>
      <c r="B61" s="779">
        <f>'Standard Ertragsphase'!F70</f>
        <v>5832.8210101188342</v>
      </c>
      <c r="C61" s="346">
        <f t="shared" si="2"/>
        <v>-4.3121846953764198E-5</v>
      </c>
      <c r="D61" s="779">
        <f>'Variante Ertragsphase'!F71</f>
        <v>5832.5694881039271</v>
      </c>
      <c r="G61" s="769" t="s">
        <v>309</v>
      </c>
      <c r="H61" s="790">
        <f>'Standard Ertragsphase'!$F$71</f>
        <v>10.349221096733206</v>
      </c>
      <c r="I61" s="791">
        <f>IF(OR(H61=0,H61=""),0,(J61/H61)-1)</f>
        <v>-4.3121846953764198E-5</v>
      </c>
      <c r="J61" s="792">
        <f>'Variante Ertragsphase'!F72</f>
        <v>10.348774819204982</v>
      </c>
    </row>
    <row r="62" spans="1:10" s="301" customFormat="1" ht="34.5" customHeight="1" x14ac:dyDescent="0.2">
      <c r="A62" s="353" t="s">
        <v>161</v>
      </c>
      <c r="B62" s="775">
        <f>'Standard Ertragsphase'!$D$60</f>
        <v>563.59999999999991</v>
      </c>
      <c r="C62" s="350">
        <f t="shared" si="2"/>
        <v>0</v>
      </c>
      <c r="D62" s="775">
        <f>'Variante Ertragsphase'!$D$61</f>
        <v>563.59999999999991</v>
      </c>
      <c r="E62" s="306"/>
      <c r="F62" s="306"/>
      <c r="G62" s="374"/>
      <c r="H62" s="374"/>
      <c r="I62" s="786"/>
      <c r="J62" s="786"/>
    </row>
    <row r="63" spans="1:10" s="303" customFormat="1" ht="34.5" customHeight="1" x14ac:dyDescent="0.2">
      <c r="A63" s="180" t="s">
        <v>305</v>
      </c>
      <c r="B63" s="776">
        <f>'Standard Ertragsphase'!B60*'Standard Vorgaben'!C37</f>
        <v>5075.4927999999991</v>
      </c>
      <c r="C63" s="355">
        <f t="shared" si="2"/>
        <v>0</v>
      </c>
      <c r="D63" s="776">
        <f>'Variante Ertragsphase'!B61*'Variante Vorgaben'!C36</f>
        <v>5075.4927999999991</v>
      </c>
      <c r="E63" s="246"/>
      <c r="F63" s="246"/>
      <c r="G63" s="734"/>
      <c r="H63" s="734"/>
      <c r="I63" s="787"/>
      <c r="J63" s="787"/>
    </row>
    <row r="64" spans="1:10" s="301" customFormat="1" ht="69" customHeight="1" x14ac:dyDescent="0.2">
      <c r="A64" s="788" t="s">
        <v>411</v>
      </c>
      <c r="B64" s="779">
        <f>B61-B63</f>
        <v>757.32821011883516</v>
      </c>
      <c r="C64" s="346">
        <f t="shared" si="2"/>
        <v>-3.3211758329676488E-4</v>
      </c>
      <c r="D64" s="779">
        <f>D61-D63</f>
        <v>757.07668810392806</v>
      </c>
      <c r="E64" s="306"/>
      <c r="F64" s="306"/>
      <c r="G64" s="788" t="s">
        <v>407</v>
      </c>
      <c r="H64" s="790">
        <f>'Standard Ertragsphase'!$F$72</f>
        <v>3.2648009810783281</v>
      </c>
      <c r="I64" s="793">
        <f>IF(OR(H64=0,H64=""),0,(J64/H64)-1)</f>
        <v>-2.2353915738448915E-4</v>
      </c>
      <c r="J64" s="792">
        <f>'Variante Ertragsphase'!$F$73</f>
        <v>3.2640711702179899</v>
      </c>
    </row>
    <row r="65" spans="1:11" s="301" customFormat="1" ht="25.5" customHeight="1" x14ac:dyDescent="0.2">
      <c r="A65" s="351" t="s">
        <v>162</v>
      </c>
      <c r="B65" s="780">
        <f>'Standard Ertragsphase'!$D$60-'Standard Ertragsphase'!$B$60</f>
        <v>344.63999999999993</v>
      </c>
      <c r="C65" s="346">
        <f t="shared" si="2"/>
        <v>0</v>
      </c>
      <c r="D65" s="780">
        <f>'Variante Ertragsphase'!$D$61-'Variante Ertragsphase'!$B$61</f>
        <v>344.63999999999993</v>
      </c>
      <c r="E65" s="306"/>
      <c r="F65" s="306"/>
      <c r="G65" s="374"/>
      <c r="H65" s="374"/>
      <c r="I65" s="786"/>
      <c r="J65" s="786"/>
    </row>
    <row r="66" spans="1:11" s="301" customFormat="1" ht="9" customHeight="1" x14ac:dyDescent="0.2">
      <c r="B66" s="374"/>
      <c r="C66" s="374"/>
      <c r="D66" s="374"/>
      <c r="E66" s="306"/>
      <c r="F66" s="306"/>
      <c r="G66" s="374"/>
      <c r="H66" s="374"/>
      <c r="I66" s="786"/>
      <c r="J66" s="786"/>
    </row>
    <row r="67" spans="1:11" s="301" customFormat="1" ht="51" customHeight="1" x14ac:dyDescent="0.2">
      <c r="A67" s="356" t="s">
        <v>310</v>
      </c>
      <c r="B67" s="357">
        <f>'Standard Vorgaben'!$F$36</f>
        <v>0.85</v>
      </c>
      <c r="C67" s="346">
        <f>IF(OR(B67=0,B67=""),0,(D67/B67)-1)</f>
        <v>0</v>
      </c>
      <c r="D67" s="357">
        <f>'Variante Vorgaben'!$F$35</f>
        <v>0.85</v>
      </c>
      <c r="E67" s="306"/>
      <c r="F67" s="306"/>
      <c r="G67" s="794" t="s">
        <v>408</v>
      </c>
      <c r="H67" s="795">
        <f>'Standard Ertragsphase'!$F$76</f>
        <v>39.744499645138397</v>
      </c>
      <c r="I67" s="793">
        <f>IF(OR(H67=0,H67=""),0,(J67/H67)-1)</f>
        <v>0</v>
      </c>
      <c r="J67" s="796">
        <f>'Variante Ertragsphase'!$F$77</f>
        <v>39.744499645138397</v>
      </c>
    </row>
    <row r="68" spans="1:11" s="301" customFormat="1" ht="27" customHeight="1" x14ac:dyDescent="0.2">
      <c r="A68" s="337" t="s">
        <v>308</v>
      </c>
      <c r="B68" s="777">
        <f>'Standard Ertragsphase'!B60</f>
        <v>218.95999999999998</v>
      </c>
      <c r="C68" s="346">
        <f>IF(OR(B68=0,B68=""),0,(D68/B68)-1)</f>
        <v>0</v>
      </c>
      <c r="D68" s="777">
        <f>'Variante Ertragsphase'!B61</f>
        <v>218.95999999999998</v>
      </c>
      <c r="E68" s="306"/>
      <c r="F68" s="306"/>
      <c r="G68" s="797" t="s">
        <v>319</v>
      </c>
      <c r="H68" s="798">
        <f>'Standard Ertragsphase'!$F$75</f>
        <v>51.575585521646559</v>
      </c>
      <c r="I68" s="793">
        <f>IF(OR(H68=0,H68=""),0,(J68/H68)-1)</f>
        <v>0</v>
      </c>
      <c r="J68" s="799">
        <f>'Variante Ertragsphase'!$F$76</f>
        <v>51.575585521646559</v>
      </c>
    </row>
    <row r="69" spans="1:11" s="301" customFormat="1" ht="18" customHeight="1" x14ac:dyDescent="0.2">
      <c r="B69" s="374"/>
      <c r="C69" s="374"/>
      <c r="D69" s="374"/>
      <c r="E69" s="306"/>
      <c r="F69" s="306"/>
      <c r="H69" s="374"/>
      <c r="I69" s="786"/>
      <c r="J69" s="786"/>
    </row>
    <row r="70" spans="1:11" ht="18" customHeight="1" x14ac:dyDescent="0.2">
      <c r="A70" s="337" t="s">
        <v>307</v>
      </c>
      <c r="B70" s="778">
        <f>B71/B62</f>
        <v>0.38608942512420158</v>
      </c>
      <c r="C70" s="346">
        <f>IF(OR(B70=0,B70=""),0,(D70/B70)-1)</f>
        <v>0</v>
      </c>
      <c r="D70" s="778">
        <f>D71/D62</f>
        <v>0.38608942512420158</v>
      </c>
      <c r="F70" s="1"/>
      <c r="H70" s="99"/>
      <c r="I70" s="504"/>
      <c r="J70" s="504"/>
    </row>
    <row r="71" spans="1:11" ht="18" customHeight="1" x14ac:dyDescent="0.2">
      <c r="A71" s="337" t="s">
        <v>306</v>
      </c>
      <c r="B71" s="777">
        <f>'Standard Ertragsphase'!$D$58</f>
        <v>217.59999999999997</v>
      </c>
      <c r="C71" s="346">
        <f>IF(OR(B71=0,B71=""),0,(D71/B71)-1)</f>
        <v>0</v>
      </c>
      <c r="D71" s="777">
        <f>'Variante Ertragsphase'!$D$59</f>
        <v>217.59999999999997</v>
      </c>
      <c r="F71" s="1"/>
      <c r="H71" s="99"/>
    </row>
    <row r="72" spans="1:11" ht="23.25" customHeight="1" x14ac:dyDescent="0.2">
      <c r="D72" s="106"/>
    </row>
    <row r="73" spans="1:11" ht="27" customHeight="1" x14ac:dyDescent="0.35">
      <c r="A73" s="800" t="s">
        <v>213</v>
      </c>
      <c r="B73" s="480"/>
      <c r="C73" s="480"/>
      <c r="D73" s="480"/>
      <c r="E73" s="99"/>
      <c r="F73" s="692"/>
      <c r="G73" s="480"/>
      <c r="H73" s="480"/>
      <c r="I73" s="480"/>
      <c r="J73" s="508"/>
      <c r="K73" s="18"/>
    </row>
    <row r="74" spans="1:11" s="1" customFormat="1" ht="18" x14ac:dyDescent="0.25">
      <c r="A74" s="147"/>
      <c r="F74" s="319"/>
      <c r="J74" s="46"/>
      <c r="K74" s="181"/>
    </row>
    <row r="75" spans="1:11" s="1" customFormat="1" ht="18" x14ac:dyDescent="0.25">
      <c r="A75" s="147"/>
      <c r="F75" s="319"/>
      <c r="H75" s="169" t="s">
        <v>70</v>
      </c>
      <c r="I75" s="802" t="s">
        <v>117</v>
      </c>
      <c r="J75" s="342" t="s">
        <v>115</v>
      </c>
      <c r="K75" s="181"/>
    </row>
    <row r="76" spans="1:11" s="1" customFormat="1" ht="18" x14ac:dyDescent="0.25">
      <c r="A76" s="147"/>
      <c r="F76" s="319"/>
      <c r="G76" s="376" t="str">
        <f>'Standard Ertragsphase'!A87</f>
        <v>Arbeitskosten</v>
      </c>
      <c r="H76" s="378">
        <f>'Standard Ertragsphase'!B87</f>
        <v>15896.967999999999</v>
      </c>
      <c r="I76" s="801">
        <f>IF(OR(H76=0,H76=""),0,(J76/H76)-1)</f>
        <v>0</v>
      </c>
      <c r="J76" s="378">
        <f>'Variante Ertragsphase'!B88</f>
        <v>15896.967999999999</v>
      </c>
      <c r="K76" s="181"/>
    </row>
    <row r="77" spans="1:11" s="1" customFormat="1" ht="18" x14ac:dyDescent="0.25">
      <c r="A77" s="147"/>
      <c r="F77" s="319"/>
      <c r="G77" s="374" t="str">
        <f>'Standard Ertragsphase'!A88</f>
        <v>Kapitalkosten (Zinsanspruch)</v>
      </c>
      <c r="H77" s="371">
        <f>'Standard Ertragsphase'!B88</f>
        <v>1867.2206287523857</v>
      </c>
      <c r="I77" s="801">
        <f>IF(OR(H77=0,H77=""),0,(J77/H77)-1)</f>
        <v>2.9578581479672295E-6</v>
      </c>
      <c r="J77" s="371">
        <f>'Variante Ertragsphase'!B89</f>
        <v>1867.2261517261365</v>
      </c>
      <c r="K77" s="181"/>
    </row>
    <row r="78" spans="1:11" s="1" customFormat="1" ht="18.75" thickBot="1" x14ac:dyDescent="0.3">
      <c r="A78" s="147"/>
      <c r="F78" s="319"/>
      <c r="G78" s="375" t="str">
        <f>'Standard Ertragsphase'!A120</f>
        <v>Sachkosten</v>
      </c>
      <c r="H78" s="372">
        <f>'Standard Ertragsphase'!B120</f>
        <v>21367.958361128778</v>
      </c>
      <c r="I78" s="803">
        <f>IF(OR(H78=0,H78=""),0,(J78/H78)-1)</f>
        <v>1.1512519680012545E-5</v>
      </c>
      <c r="J78" s="372">
        <f>'Variante Ertragsphase'!B90</f>
        <v>21368.204360169933</v>
      </c>
      <c r="K78" s="181"/>
    </row>
    <row r="79" spans="1:11" s="1" customFormat="1" ht="30" x14ac:dyDescent="0.25">
      <c r="A79" s="147"/>
      <c r="F79" s="319"/>
      <c r="G79" s="394" t="s">
        <v>347</v>
      </c>
      <c r="H79" s="390">
        <f>B42</f>
        <v>39132.146989881163</v>
      </c>
      <c r="I79" s="801">
        <f>IF(OR(H79=0,H79=""),0,(J79/H79)-1)</f>
        <v>6.4275035809302494E-6</v>
      </c>
      <c r="J79" s="390">
        <f>D42</f>
        <v>39132.39851189607</v>
      </c>
      <c r="K79" s="181"/>
    </row>
    <row r="80" spans="1:11" s="1" customFormat="1" ht="18" x14ac:dyDescent="0.25">
      <c r="A80" s="147"/>
      <c r="F80" s="319"/>
      <c r="I80" s="99"/>
      <c r="K80" s="181"/>
    </row>
    <row r="81" spans="1:11" s="1" customFormat="1" ht="18" x14ac:dyDescent="0.25">
      <c r="A81" s="147"/>
      <c r="F81" s="319"/>
      <c r="G81" s="376" t="str">
        <f>'Standard Ertragsphase'!A87</f>
        <v>Arbeitskosten</v>
      </c>
      <c r="H81" s="193">
        <f>'Standard Ertragsphase'!C87</f>
        <v>0.40623807336997525</v>
      </c>
      <c r="I81" s="801"/>
      <c r="J81" s="307">
        <f>'Variante Ertragsphase'!C88</f>
        <v>0.40623546229008667</v>
      </c>
      <c r="K81" s="181"/>
    </row>
    <row r="82" spans="1:11" s="1" customFormat="1" ht="18" x14ac:dyDescent="0.25">
      <c r="A82" s="147"/>
      <c r="F82" s="319"/>
      <c r="G82" s="374" t="str">
        <f>'Standard Ertragsphase'!A88</f>
        <v>Kapitalkosten (Zinsanspruch)</v>
      </c>
      <c r="H82" s="307">
        <f>'Standard Ertragsphase'!C88</f>
        <v>4.7715772641741684E-2</v>
      </c>
      <c r="I82" s="801"/>
      <c r="J82" s="307">
        <f>'Variante Ertragsphase'!C89</f>
        <v>4.7715607085993164E-2</v>
      </c>
      <c r="K82" s="181"/>
    </row>
    <row r="83" spans="1:11" s="1" customFormat="1" ht="18" x14ac:dyDescent="0.25">
      <c r="A83" s="147"/>
      <c r="F83" s="319"/>
      <c r="G83" s="374" t="str">
        <f>'Standard Ertragsphase'!A89</f>
        <v>Sachkosten</v>
      </c>
      <c r="H83" s="307">
        <f>'Standard Ertragsphase'!C89</f>
        <v>0.54604615398828305</v>
      </c>
      <c r="I83" s="801"/>
      <c r="J83" s="307">
        <f>'Variante Ertragsphase'!C90</f>
        <v>0.54604893062392013</v>
      </c>
      <c r="K83" s="181"/>
    </row>
    <row r="84" spans="1:11" s="1" customFormat="1" ht="18" x14ac:dyDescent="0.25">
      <c r="A84" s="147"/>
      <c r="F84" s="319"/>
      <c r="I84" s="99"/>
      <c r="K84" s="181"/>
    </row>
    <row r="85" spans="1:11" s="1" customFormat="1" ht="18" x14ac:dyDescent="0.25">
      <c r="A85" s="147"/>
      <c r="F85" s="319"/>
      <c r="I85" s="99"/>
      <c r="J85" s="46"/>
      <c r="K85" s="181"/>
    </row>
    <row r="86" spans="1:11" ht="9.75" customHeight="1" x14ac:dyDescent="0.2">
      <c r="I86" s="82"/>
    </row>
    <row r="87" spans="1:11" ht="23.25" x14ac:dyDescent="0.35">
      <c r="A87" s="800" t="s">
        <v>325</v>
      </c>
      <c r="B87" s="442"/>
      <c r="C87" s="442"/>
      <c r="D87" s="496"/>
      <c r="F87" s="437"/>
      <c r="G87" s="437"/>
      <c r="H87" s="437"/>
      <c r="I87" s="480"/>
      <c r="J87" s="437"/>
    </row>
    <row r="88" spans="1:11" x14ac:dyDescent="0.2">
      <c r="I88" s="82"/>
    </row>
    <row r="89" spans="1:11" ht="21" customHeight="1" x14ac:dyDescent="0.2">
      <c r="G89" s="1"/>
      <c r="I89" s="82"/>
    </row>
    <row r="90" spans="1:11" ht="21" customHeight="1" x14ac:dyDescent="0.25">
      <c r="G90" s="1"/>
      <c r="H90" s="169" t="s">
        <v>70</v>
      </c>
      <c r="I90" s="170" t="s">
        <v>117</v>
      </c>
      <c r="J90" s="342" t="s">
        <v>115</v>
      </c>
    </row>
    <row r="91" spans="1:11" ht="21" customHeight="1" x14ac:dyDescent="0.2">
      <c r="G91" s="374" t="str">
        <f>'Standard Ertragsphase'!A93</f>
        <v>für Boden</v>
      </c>
      <c r="H91" s="371">
        <f>'Standard Ertragsphase'!B93</f>
        <v>660</v>
      </c>
      <c r="I91" s="801">
        <f>IF(OR(H91=0,H91=""),0,(J91/H91)-1)</f>
        <v>0</v>
      </c>
      <c r="J91" s="371">
        <f>'Variante Ertragsphase'!B94</f>
        <v>660</v>
      </c>
    </row>
    <row r="92" spans="1:11" ht="21" customHeight="1" thickBot="1" x14ac:dyDescent="0.25">
      <c r="G92" s="375" t="str">
        <f>'Standard Ertragsphase'!A94</f>
        <v xml:space="preserve">für Investition Obstanlage </v>
      </c>
      <c r="H92" s="372">
        <f>'Standard Ertragsphase'!B94</f>
        <v>1207.2206287523857</v>
      </c>
      <c r="I92" s="803">
        <f>IF(OR(H92=0,H92=""),0,(J92/H92)-1)</f>
        <v>4.5749497807889838E-6</v>
      </c>
      <c r="J92" s="372">
        <f>'Variante Ertragsphase'!B95</f>
        <v>1207.2261517261365</v>
      </c>
    </row>
    <row r="93" spans="1:11" ht="19.5" customHeight="1" x14ac:dyDescent="0.2">
      <c r="G93" s="403" t="str">
        <f>'Standard Ertragsphase'!A95</f>
        <v>Kapitalkosten</v>
      </c>
      <c r="H93" s="390">
        <f>'Standard Ertragsphase'!B95</f>
        <v>1867.2206287523857</v>
      </c>
      <c r="I93" s="801">
        <f>IF(OR(H93=0,H93=""),0,(J93/H93)-1)</f>
        <v>2.9578581479672295E-6</v>
      </c>
      <c r="J93" s="390">
        <f>'Variante Ertragsphase'!B96</f>
        <v>1867.2261517261365</v>
      </c>
    </row>
    <row r="94" spans="1:11" ht="20.25" customHeight="1" x14ac:dyDescent="0.2">
      <c r="I94" s="801"/>
    </row>
    <row r="95" spans="1:11" ht="21" customHeight="1" x14ac:dyDescent="0.2">
      <c r="G95" s="301" t="str">
        <f>'Standard Ertragsphase'!A93</f>
        <v>für Boden</v>
      </c>
      <c r="H95" s="377">
        <f>'Standard Ertragsphase'!C93</f>
        <v>0.35346653193360977</v>
      </c>
      <c r="I95" s="373"/>
      <c r="J95" s="377">
        <f>'Variante Ertragsphase'!C94</f>
        <v>0.35346548643284065</v>
      </c>
    </row>
    <row r="96" spans="1:11" ht="21" customHeight="1" x14ac:dyDescent="0.2">
      <c r="G96" s="301" t="str">
        <f>'Standard Ertragsphase'!A94</f>
        <v xml:space="preserve">für Investition Obstanlage </v>
      </c>
      <c r="H96" s="377">
        <f>'Standard Ertragsphase'!C94</f>
        <v>0.64653346806639023</v>
      </c>
      <c r="I96" s="373"/>
      <c r="J96" s="377">
        <f>'Variante Ertragsphase'!C95</f>
        <v>0.6465345135671593</v>
      </c>
    </row>
    <row r="97" spans="7:10" ht="20.25" customHeight="1" x14ac:dyDescent="0.2"/>
    <row r="100" spans="7:10" ht="15.75" x14ac:dyDescent="0.25">
      <c r="G100" s="1"/>
      <c r="H100" s="169" t="s">
        <v>70</v>
      </c>
      <c r="I100" s="802" t="s">
        <v>117</v>
      </c>
      <c r="J100" s="342" t="s">
        <v>115</v>
      </c>
    </row>
    <row r="101" spans="7:10" ht="15.75" customHeight="1" x14ac:dyDescent="0.2">
      <c r="G101" s="374" t="str">
        <f>'Standard Ertragsphase'!A109</f>
        <v>Ernte baumfallend</v>
      </c>
      <c r="H101" s="371">
        <f>'Standard Ertragsphase'!B109</f>
        <v>5043.9679999999989</v>
      </c>
      <c r="I101" s="801">
        <f>IF(OR(H101=0,H101=""),0,(J101/H101)-1)</f>
        <v>-0.90808823529411764</v>
      </c>
      <c r="J101" s="371">
        <f>'Variante Ertragsphase'!B110</f>
        <v>463.6</v>
      </c>
    </row>
    <row r="102" spans="7:10" ht="15.75" customHeight="1" x14ac:dyDescent="0.2">
      <c r="G102" s="376" t="s">
        <v>334</v>
      </c>
      <c r="H102" s="378">
        <f>'Standard Ertragsphase'!B110</f>
        <v>5232</v>
      </c>
      <c r="I102" s="801">
        <f>IF(OR(H102=0,H102=""),0,(J102/H102)-1)</f>
        <v>0</v>
      </c>
      <c r="J102" s="378">
        <f>'Variante Ertragsphase'!B111</f>
        <v>5232</v>
      </c>
    </row>
    <row r="103" spans="7:10" ht="15.75" customHeight="1" x14ac:dyDescent="0.2">
      <c r="G103" s="379" t="s">
        <v>335</v>
      </c>
      <c r="H103" s="371">
        <f>'Standard Ertragsphase'!B111</f>
        <v>927.2</v>
      </c>
      <c r="I103" s="801">
        <f>IF(OR(H103=0,H103=""),0,(J103/H103)-1)</f>
        <v>0</v>
      </c>
      <c r="J103" s="371">
        <f>'Variante Ertragsphase'!B112</f>
        <v>927.2</v>
      </c>
    </row>
    <row r="104" spans="7:10" ht="15.75" customHeight="1" thickBot="1" x14ac:dyDescent="0.25">
      <c r="G104" s="78" t="s">
        <v>141</v>
      </c>
      <c r="H104" s="372">
        <f>'Standard Ertragsphase'!B112</f>
        <v>3650.7</v>
      </c>
      <c r="I104" s="803">
        <f>IF(OR(H104=0,H104=""),0,(J104/H104)-1)</f>
        <v>0</v>
      </c>
      <c r="J104" s="372">
        <f>'Variante Ertragsphase'!B113</f>
        <v>3650.7</v>
      </c>
    </row>
    <row r="105" spans="7:10" ht="21" customHeight="1" x14ac:dyDescent="0.2">
      <c r="G105" s="401" t="str">
        <f>'Standard Ertragsphase'!A105</f>
        <v>Arbeitskosten</v>
      </c>
      <c r="H105" s="402">
        <f>SUM(H101:H104)</f>
        <v>14853.867999999999</v>
      </c>
      <c r="I105" s="804">
        <f>IF(OR(H105=0,H105=""),0,(J105/H105)-1)</f>
        <v>-0.30836197009425415</v>
      </c>
      <c r="J105" s="402">
        <f>SUM(J101:J104)</f>
        <v>10273.5</v>
      </c>
    </row>
    <row r="106" spans="7:10" x14ac:dyDescent="0.2">
      <c r="I106" s="99"/>
    </row>
    <row r="107" spans="7:10" ht="15.75" customHeight="1" x14ac:dyDescent="0.2">
      <c r="G107" s="301" t="str">
        <f>'Standard Ertragsphase'!A109</f>
        <v>Ernte baumfallend</v>
      </c>
      <c r="H107" s="377">
        <f>'Standard Ertragsphase'!C109</f>
        <v>0.3395726958122961</v>
      </c>
      <c r="I107" s="801"/>
      <c r="J107" s="377">
        <f>'Variante Ertragsphase'!C110</f>
        <v>4.5125809120552883E-2</v>
      </c>
    </row>
    <row r="108" spans="7:10" ht="15.75" customHeight="1" x14ac:dyDescent="0.2">
      <c r="G108" s="376" t="s">
        <v>334</v>
      </c>
      <c r="H108" s="377">
        <f>'Standard Ertragsphase'!C110</f>
        <v>0.35223148610180194</v>
      </c>
      <c r="I108" s="801"/>
      <c r="J108" s="377">
        <f>'Variante Ertragsphase'!C111</f>
        <v>0.50927142648561829</v>
      </c>
    </row>
    <row r="109" spans="7:10" ht="15.75" customHeight="1" x14ac:dyDescent="0.2">
      <c r="G109" s="379" t="s">
        <v>335</v>
      </c>
      <c r="H109" s="377">
        <f>'Standard Ertragsphase'!C111</f>
        <v>6.2421451436083859E-2</v>
      </c>
      <c r="I109" s="801"/>
      <c r="J109" s="377">
        <f>'Variante Ertragsphase'!C112</f>
        <v>9.0251618241105766E-2</v>
      </c>
    </row>
    <row r="110" spans="7:10" ht="15.75" customHeight="1" x14ac:dyDescent="0.2">
      <c r="G110" s="17" t="s">
        <v>141</v>
      </c>
      <c r="H110" s="377">
        <f>'Standard Ertragsphase'!C112</f>
        <v>0.24577436664981808</v>
      </c>
      <c r="I110" s="801"/>
      <c r="J110" s="377">
        <f>'Variante Ertragsphase'!C113</f>
        <v>0.35535114615272301</v>
      </c>
    </row>
    <row r="111" spans="7:10" x14ac:dyDescent="0.2">
      <c r="I111" s="99"/>
    </row>
    <row r="112" spans="7:10" x14ac:dyDescent="0.2">
      <c r="I112" s="99"/>
    </row>
    <row r="113" spans="7:11" x14ac:dyDescent="0.2">
      <c r="I113" s="99"/>
    </row>
    <row r="114" spans="7:11" x14ac:dyDescent="0.2">
      <c r="I114" s="99"/>
    </row>
    <row r="115" spans="7:11" x14ac:dyDescent="0.2">
      <c r="I115" s="99"/>
    </row>
    <row r="116" spans="7:11" ht="15.75" x14ac:dyDescent="0.25">
      <c r="G116" s="1"/>
      <c r="H116" s="169" t="s">
        <v>70</v>
      </c>
      <c r="I116" s="802" t="s">
        <v>117</v>
      </c>
      <c r="J116" s="342" t="s">
        <v>115</v>
      </c>
    </row>
    <row r="117" spans="7:11" ht="15" customHeight="1" x14ac:dyDescent="0.2">
      <c r="G117" s="374"/>
      <c r="H117" s="371"/>
      <c r="I117" s="801"/>
      <c r="J117" s="371"/>
    </row>
    <row r="118" spans="7:11" ht="15" customHeight="1" x14ac:dyDescent="0.2">
      <c r="G118" s="374" t="str">
        <f>'Standard Ertragsphase'!A117</f>
        <v xml:space="preserve">Abschreibung Obstanlage </v>
      </c>
      <c r="H118" s="371">
        <f>'Standard Ertragsphase'!B117</f>
        <v>8942.3750277954496</v>
      </c>
      <c r="I118" s="801">
        <f>IF(OR(H118=0,H118=""),0,(J118/H118)-1)</f>
        <v>4.5749497807889838E-6</v>
      </c>
      <c r="J118" s="371">
        <f>'Variante Ertragsphase'!B118</f>
        <v>8942.4159387121235</v>
      </c>
      <c r="K118" s="18"/>
    </row>
    <row r="119" spans="7:11" ht="15" customHeight="1" x14ac:dyDescent="0.2">
      <c r="G119" s="374" t="str">
        <f>'Standard Ertragsphase'!A118</f>
        <v>Maschinen und Geräte</v>
      </c>
      <c r="H119" s="371">
        <f>'Standard Ertragsphase'!B118</f>
        <v>4870.7833333333338</v>
      </c>
      <c r="I119" s="801">
        <f>IF(OR(H119=0,H119=""),0,(J119/H119)-1)</f>
        <v>4.2105778566225993E-5</v>
      </c>
      <c r="J119" s="371">
        <f>'Variante Ertragsphase'!B119</f>
        <v>4870.9884214578115</v>
      </c>
    </row>
    <row r="120" spans="7:11" ht="15" customHeight="1" thickBot="1" x14ac:dyDescent="0.25">
      <c r="G120" s="375" t="s">
        <v>336</v>
      </c>
      <c r="H120" s="372">
        <f>'Standard Ertragsphase'!B119</f>
        <v>7554.7999999999947</v>
      </c>
      <c r="I120" s="803">
        <f>IF(OR(H120=0,H120=""),0,(J120/H120)-1)</f>
        <v>4.4408920985006262E-16</v>
      </c>
      <c r="J120" s="372">
        <f>'Variante Ertragsphase'!B120</f>
        <v>7554.7999999999984</v>
      </c>
    </row>
    <row r="121" spans="7:11" ht="15" x14ac:dyDescent="0.2">
      <c r="G121" s="401" t="str">
        <f>'Standard Ertragsphase'!A120</f>
        <v>Sachkosten</v>
      </c>
      <c r="H121" s="390">
        <f>'Standard Ertragsphase'!B120</f>
        <v>21367.958361128778</v>
      </c>
      <c r="I121" s="804">
        <f>IF(OR(H121=0,H121=""),0,(J121/H121)-1)</f>
        <v>1.1512519680012545E-5</v>
      </c>
      <c r="J121" s="390">
        <f>'Variante Ertragsphase'!B121</f>
        <v>21368.204360169933</v>
      </c>
    </row>
    <row r="122" spans="7:11" x14ac:dyDescent="0.2">
      <c r="I122" s="99"/>
    </row>
    <row r="123" spans="7:11" ht="13.5" customHeight="1" x14ac:dyDescent="0.2">
      <c r="G123" s="301"/>
      <c r="H123" s="377"/>
      <c r="I123" s="801"/>
      <c r="J123" s="377"/>
    </row>
    <row r="124" spans="7:11" ht="13.5" customHeight="1" x14ac:dyDescent="0.2">
      <c r="G124" s="301" t="str">
        <f>'Standard Ertragsphase'!A117</f>
        <v xml:space="preserve">Abschreibung Obstanlage </v>
      </c>
      <c r="H124" s="377">
        <f>'Standard Ertragsphase'!C117</f>
        <v>0.41849459254202059</v>
      </c>
      <c r="I124" s="801"/>
      <c r="J124" s="377">
        <f>'Variante Ertragsphase'!C118</f>
        <v>0.41849168923995672</v>
      </c>
    </row>
    <row r="125" spans="7:11" ht="13.5" customHeight="1" x14ac:dyDescent="0.2">
      <c r="G125" s="301" t="str">
        <f>'Standard Ertragsphase'!A118</f>
        <v>Maschinen und Geräte</v>
      </c>
      <c r="H125" s="377">
        <f>'Standard Ertragsphase'!C118</f>
        <v>0.22794799816691663</v>
      </c>
      <c r="I125" s="801"/>
      <c r="J125" s="377">
        <f>'Variante Ertragsphase'!C119</f>
        <v>0.22795497175875354</v>
      </c>
    </row>
    <row r="126" spans="7:11" ht="13.5" customHeight="1" x14ac:dyDescent="0.2">
      <c r="G126" s="376" t="s">
        <v>336</v>
      </c>
      <c r="H126" s="377">
        <f>'Standard Ertragsphase'!C119</f>
        <v>0.35355740929106277</v>
      </c>
      <c r="I126" s="801"/>
      <c r="J126" s="377">
        <f>'Variante Ertragsphase'!C120</f>
        <v>0.35355333900128977</v>
      </c>
    </row>
    <row r="127" spans="7:11" ht="13.5" customHeight="1" x14ac:dyDescent="0.2">
      <c r="G127" s="376"/>
      <c r="H127" s="377"/>
      <c r="I127" s="801"/>
      <c r="J127" s="377"/>
    </row>
    <row r="128" spans="7:11" ht="13.5" customHeight="1" x14ac:dyDescent="0.2">
      <c r="G128" s="376"/>
      <c r="H128" s="377"/>
      <c r="I128" s="801"/>
      <c r="J128" s="377"/>
    </row>
    <row r="129" spans="1:10" ht="13.5" customHeight="1" x14ac:dyDescent="0.2">
      <c r="G129" s="376"/>
      <c r="H129" s="377"/>
      <c r="I129" s="801"/>
      <c r="J129" s="377"/>
    </row>
    <row r="130" spans="1:10" ht="13.5" customHeight="1" x14ac:dyDescent="0.2">
      <c r="G130" s="376"/>
      <c r="H130" s="377"/>
      <c r="I130" s="801"/>
      <c r="J130" s="377"/>
    </row>
    <row r="131" spans="1:10" ht="13.5" customHeight="1" x14ac:dyDescent="0.2">
      <c r="G131" s="376"/>
      <c r="H131" s="377"/>
      <c r="I131" s="801"/>
      <c r="J131" s="377"/>
    </row>
    <row r="132" spans="1:10" ht="13.5" customHeight="1" x14ac:dyDescent="0.2">
      <c r="G132" s="376"/>
      <c r="H132" s="377"/>
      <c r="I132" s="801"/>
      <c r="J132" s="377"/>
    </row>
    <row r="133" spans="1:10" x14ac:dyDescent="0.2">
      <c r="I133" s="99"/>
    </row>
    <row r="134" spans="1:10" ht="60" customHeight="1" x14ac:dyDescent="0.2">
      <c r="I134" s="99"/>
    </row>
    <row r="135" spans="1:10" ht="23.25" x14ac:dyDescent="0.35">
      <c r="A135" s="800" t="s">
        <v>218</v>
      </c>
      <c r="B135" s="508"/>
      <c r="C135" s="508"/>
      <c r="D135" s="496"/>
      <c r="E135" s="99"/>
      <c r="F135" s="480"/>
      <c r="G135" s="480"/>
      <c r="H135" s="480"/>
      <c r="I135" s="480"/>
      <c r="J135" s="480"/>
    </row>
    <row r="139" spans="1:10" ht="15.75" x14ac:dyDescent="0.25">
      <c r="H139" s="169" t="s">
        <v>70</v>
      </c>
      <c r="I139" s="802" t="s">
        <v>117</v>
      </c>
      <c r="J139" s="342" t="s">
        <v>115</v>
      </c>
    </row>
    <row r="140" spans="1:10" x14ac:dyDescent="0.2">
      <c r="G140" s="64" t="s">
        <v>256</v>
      </c>
      <c r="H140" s="378">
        <f>'Standard Ertragsphase'!B124</f>
        <v>16347.175027795449</v>
      </c>
      <c r="I140" s="801">
        <f>IF(OR(H140=0,H140=""),0,(J140/H140)-1)</f>
        <v>2.5026291456953231E-6</v>
      </c>
      <c r="J140" s="378">
        <f>'Variante Ertragsphase'!B125</f>
        <v>16347.215938712123</v>
      </c>
    </row>
    <row r="141" spans="1:10" x14ac:dyDescent="0.2">
      <c r="G141" s="388" t="s">
        <v>35</v>
      </c>
      <c r="H141" s="389">
        <f>'Standard Ertragsphase'!B125</f>
        <v>22784.971962085718</v>
      </c>
      <c r="I141" s="805">
        <f>IF(OR(H141=0,H141=""),0,(J141/H141)-1)</f>
        <v>9.2434214351566624E-6</v>
      </c>
      <c r="J141" s="389">
        <f>'Variante Ertragsphase'!B126</f>
        <v>22785.182573183949</v>
      </c>
    </row>
    <row r="142" spans="1:10" x14ac:dyDescent="0.2">
      <c r="G142" t="s">
        <v>261</v>
      </c>
      <c r="H142" s="390">
        <f>SUM(H140:H141)</f>
        <v>39132.146989881163</v>
      </c>
      <c r="I142" s="801">
        <f>IF(OR(H142=0,H142=""),0,(J142/H142)-1)</f>
        <v>6.4275035809302494E-6</v>
      </c>
      <c r="J142" s="390">
        <f>SUM(J140:J141)</f>
        <v>39132.39851189607</v>
      </c>
    </row>
    <row r="143" spans="1:10" x14ac:dyDescent="0.2">
      <c r="I143" s="99"/>
    </row>
    <row r="144" spans="1:10" x14ac:dyDescent="0.2">
      <c r="G144" s="101" t="s">
        <v>256</v>
      </c>
      <c r="H144" s="377">
        <f>'Standard Ertragsphase'!C124</f>
        <v>0.4177428606721354</v>
      </c>
      <c r="J144" s="377">
        <f>'Variante Ertragsphase'!C125</f>
        <v>0.41774122109439943</v>
      </c>
    </row>
    <row r="145" spans="7:10" x14ac:dyDescent="0.2">
      <c r="G145" s="101" t="s">
        <v>35</v>
      </c>
      <c r="H145" s="377">
        <f>'Standard Ertragsphase'!C125</f>
        <v>0.58225713932786471</v>
      </c>
      <c r="J145" s="377">
        <f>'Variante Ertragsphase'!C126</f>
        <v>0.58225877890560063</v>
      </c>
    </row>
    <row r="147" spans="7:10" x14ac:dyDescent="0.2">
      <c r="G147" s="82"/>
    </row>
    <row r="163" spans="1:10" ht="23.25" x14ac:dyDescent="0.35">
      <c r="A163" s="800" t="s">
        <v>330</v>
      </c>
      <c r="B163" s="508"/>
      <c r="C163" s="508"/>
      <c r="D163" s="496"/>
      <c r="E163" s="99"/>
      <c r="F163" s="480"/>
      <c r="G163" s="480"/>
      <c r="H163" s="480"/>
      <c r="I163" s="480"/>
      <c r="J163" s="480"/>
    </row>
    <row r="167" spans="1:10" ht="19.5" customHeight="1" x14ac:dyDescent="0.25">
      <c r="H167" s="169" t="s">
        <v>70</v>
      </c>
      <c r="I167" s="802" t="s">
        <v>117</v>
      </c>
      <c r="J167" s="342" t="s">
        <v>115</v>
      </c>
    </row>
    <row r="168" spans="1:10" ht="39" customHeight="1" x14ac:dyDescent="0.2">
      <c r="G168" s="308" t="str">
        <f>'Standard Ertragsphase'!A150</f>
        <v>Pflanzenschutz (Material, Maschinen, Arbeit&gt;)</v>
      </c>
      <c r="H168" s="380">
        <f>'Standard Ertragsphase'!B150</f>
        <v>8008.6</v>
      </c>
      <c r="I168" s="369">
        <f>IF(OR(H168=0,H168=""),0,(J168/H168)-1)</f>
        <v>1.221411253804483E-5</v>
      </c>
      <c r="J168" s="368">
        <f>'Variante Ertragsphase'!B151</f>
        <v>8008.6978179416728</v>
      </c>
    </row>
    <row r="169" spans="1:10" s="301" customFormat="1" ht="20.25" customHeight="1" thickBot="1" x14ac:dyDescent="0.25">
      <c r="B169" s="303"/>
      <c r="C169" s="303"/>
      <c r="D169" s="300"/>
      <c r="E169" s="306"/>
      <c r="G169" s="386" t="str">
        <f>'Standard Ertragsphase'!A144</f>
        <v>übrige Produktionskosten</v>
      </c>
      <c r="H169" s="395">
        <f>'Standard Ertragsphase'!B144</f>
        <v>31123.546989881164</v>
      </c>
      <c r="I169" s="806">
        <f>IF(OR(H169=0,H169=""),0,(J169/H169)-1)</f>
        <v>4.9385140223900947E-6</v>
      </c>
      <c r="J169" s="395">
        <f>'Variante Ertragsphase'!B145</f>
        <v>31123.700693954397</v>
      </c>
    </row>
    <row r="170" spans="1:10" ht="28.5" customHeight="1" x14ac:dyDescent="0.2">
      <c r="G170" s="394" t="s">
        <v>347</v>
      </c>
      <c r="H170" s="393">
        <f>'Standard Ertragsphase'!B126</f>
        <v>39132.146989881163</v>
      </c>
      <c r="I170" s="369">
        <f>IF(OR(H170=0,H170=""),0,(J170/H170)-1)</f>
        <v>6.4275035809302494E-6</v>
      </c>
      <c r="J170" s="393">
        <f>'Variante Ertragsphase'!B127</f>
        <v>39132.39851189607</v>
      </c>
    </row>
    <row r="171" spans="1:10" ht="17.25" customHeight="1" x14ac:dyDescent="0.2">
      <c r="I171" s="99"/>
    </row>
    <row r="172" spans="1:10" ht="30.75" customHeight="1" x14ac:dyDescent="0.2">
      <c r="G172" s="326" t="str">
        <f>G168</f>
        <v>Pflanzenschutz (Material, Maschinen, Arbeit&gt;)</v>
      </c>
      <c r="H172" s="383">
        <f>'Standard Ertragsphase'!C143</f>
        <v>0.20465526724283423</v>
      </c>
      <c r="I172" s="385"/>
      <c r="J172" s="383">
        <f>'Variante Ertragsphase'!C144</f>
        <v>0.20465645149522499</v>
      </c>
    </row>
    <row r="173" spans="1:10" ht="16.5" customHeight="1" x14ac:dyDescent="0.2">
      <c r="G173" s="326" t="str">
        <f>G169</f>
        <v>übrige Produktionskosten</v>
      </c>
      <c r="H173" s="383">
        <f>'Standard Ertragsphase'!C144</f>
        <v>0.79534473275716577</v>
      </c>
      <c r="I173" s="385"/>
      <c r="J173" s="383">
        <f>'Variante Ertragsphase'!C145</f>
        <v>0.79534354850477496</v>
      </c>
    </row>
    <row r="181" spans="2:10" ht="7.5" customHeight="1" x14ac:dyDescent="0.2"/>
    <row r="182" spans="2:10" ht="15.75" x14ac:dyDescent="0.25">
      <c r="H182" s="169" t="s">
        <v>70</v>
      </c>
      <c r="I182" s="802" t="s">
        <v>117</v>
      </c>
      <c r="J182" s="342" t="s">
        <v>115</v>
      </c>
    </row>
    <row r="183" spans="2:10" x14ac:dyDescent="0.2">
      <c r="G183" s="17" t="str">
        <f>'Standard Ertragsphase'!A147</f>
        <v>Material</v>
      </c>
      <c r="H183" s="382">
        <f>'Standard Ertragsphase'!B147</f>
        <v>4240</v>
      </c>
      <c r="I183" s="369">
        <f>IF(OR(H183=0,H183=""),0,(J183/H183)-1)</f>
        <v>0</v>
      </c>
      <c r="J183" s="382">
        <f>'Variante Ertragsphase'!B148</f>
        <v>4240</v>
      </c>
    </row>
    <row r="184" spans="2:10" x14ac:dyDescent="0.2">
      <c r="G184" t="str">
        <f>'Standard Ertragsphase'!A148</f>
        <v>Maschinen</v>
      </c>
      <c r="H184" s="368">
        <f>'Standard Ertragsphase'!B148</f>
        <v>2199</v>
      </c>
      <c r="I184" s="369">
        <f>IF(OR(H184=0,H184=""),0,(J184/H184)-1)</f>
        <v>4.4482920269484083E-5</v>
      </c>
      <c r="J184" s="368">
        <f>'Variante Ertragsphase'!B149</f>
        <v>2199.0978179416725</v>
      </c>
    </row>
    <row r="185" spans="2:10" ht="13.5" thickBot="1" x14ac:dyDescent="0.25">
      <c r="G185" s="78" t="str">
        <f>'Standard Ertragsphase'!A149</f>
        <v>Arbeit</v>
      </c>
      <c r="H185" s="381">
        <f>'Standard Ertragsphase'!B149</f>
        <v>1569.6000000000001</v>
      </c>
      <c r="I185" s="806">
        <f>IF(OR(H185=0,H185=""),0,(J185/H185)-1)</f>
        <v>0</v>
      </c>
      <c r="J185" s="381">
        <f>'Variante Ertragsphase'!B150</f>
        <v>1569.6000000000001</v>
      </c>
    </row>
    <row r="186" spans="2:10" ht="30" x14ac:dyDescent="0.2">
      <c r="G186" s="370" t="str">
        <f>'Standard Ertragsphase'!A150</f>
        <v>Pflanzenschutz (Material, Maschinen, Arbeit&gt;)</v>
      </c>
      <c r="H186" s="400">
        <f>'Standard Ertragsphase'!B150</f>
        <v>8008.6</v>
      </c>
      <c r="I186" s="369">
        <f>IF(OR(H186=0,H186=""),0,(J186/H186)-1)</f>
        <v>1.221411253804483E-5</v>
      </c>
      <c r="J186" s="400">
        <f>'Variante Ertragsphase'!B151</f>
        <v>8008.6978179416728</v>
      </c>
    </row>
    <row r="187" spans="2:10" ht="24" customHeight="1" x14ac:dyDescent="0.2">
      <c r="I187" s="99"/>
    </row>
    <row r="188" spans="2:10" x14ac:dyDescent="0.2">
      <c r="G188" s="326" t="str">
        <f>'Standard Ertragsphase'!A147</f>
        <v>Material</v>
      </c>
      <c r="H188" s="383">
        <f>'Standard Ertragsphase'!C147</f>
        <v>0.52943086182353971</v>
      </c>
      <c r="I188" s="385"/>
      <c r="J188" s="384">
        <f>'Variante Ertragsphase'!C148</f>
        <v>0.52942439537439412</v>
      </c>
    </row>
    <row r="189" spans="2:10" x14ac:dyDescent="0.2">
      <c r="G189" s="326" t="str">
        <f>'Standard Ertragsphase'!A148</f>
        <v>Maschinen</v>
      </c>
      <c r="H189" s="383">
        <f>'Standard Ertragsphase'!C148</f>
        <v>0.2745798266863122</v>
      </c>
      <c r="I189" s="385"/>
      <c r="J189" s="384">
        <f>'Variante Ertragsphase'!C149</f>
        <v>0.27458868694172628</v>
      </c>
    </row>
    <row r="190" spans="2:10" x14ac:dyDescent="0.2">
      <c r="G190" s="326" t="str">
        <f>'Standard Ertragsphase'!A149</f>
        <v>Arbeit</v>
      </c>
      <c r="H190" s="383">
        <f>'Standard Ertragsphase'!C149</f>
        <v>0.19598931149014809</v>
      </c>
      <c r="I190" s="385"/>
      <c r="J190" s="384">
        <f>'Variante Ertragsphase'!C150</f>
        <v>0.19598691768387952</v>
      </c>
    </row>
    <row r="191" spans="2:10" x14ac:dyDescent="0.2">
      <c r="B191" s="167"/>
    </row>
    <row r="192" spans="2:10" x14ac:dyDescent="0.2">
      <c r="B192" s="167"/>
    </row>
    <row r="193" spans="1:10" x14ac:dyDescent="0.2">
      <c r="B193" s="167"/>
      <c r="G193" s="406" t="s">
        <v>350</v>
      </c>
      <c r="H193" s="407"/>
      <c r="I193" s="407"/>
      <c r="J193" s="408"/>
    </row>
    <row r="194" spans="1:10" x14ac:dyDescent="0.2">
      <c r="B194" s="167"/>
      <c r="G194" s="409" t="s">
        <v>476</v>
      </c>
      <c r="H194" s="410">
        <f>'Standard Ertragsphase'!C37</f>
        <v>25</v>
      </c>
      <c r="I194" s="17"/>
      <c r="J194" s="411">
        <f>'Variante Ertragsphase'!C38</f>
        <v>25</v>
      </c>
    </row>
    <row r="195" spans="1:10" ht="31.5" customHeight="1" x14ac:dyDescent="0.2">
      <c r="B195" s="167"/>
      <c r="G195" s="409" t="s">
        <v>478</v>
      </c>
      <c r="H195" s="410">
        <f>'Standard Ertragsphase'!C38</f>
        <v>3</v>
      </c>
      <c r="I195" s="17"/>
      <c r="J195" s="411">
        <f>'Variante Ertragsphase'!C39</f>
        <v>3</v>
      </c>
    </row>
    <row r="196" spans="1:10" x14ac:dyDescent="0.2">
      <c r="B196" s="167"/>
      <c r="G196" s="412"/>
      <c r="H196" s="17"/>
      <c r="I196" s="17"/>
      <c r="J196" s="75"/>
    </row>
    <row r="197" spans="1:10" ht="15" customHeight="1" x14ac:dyDescent="0.2">
      <c r="B197" s="167"/>
      <c r="G197" s="413"/>
      <c r="H197" s="17"/>
      <c r="I197" s="17"/>
      <c r="J197" s="75"/>
    </row>
    <row r="198" spans="1:10" ht="15.75" customHeight="1" x14ac:dyDescent="0.2">
      <c r="B198" s="167"/>
      <c r="G198" s="409"/>
      <c r="H198" s="414"/>
      <c r="I198" s="17"/>
      <c r="J198" s="415"/>
    </row>
    <row r="199" spans="1:10" x14ac:dyDescent="0.2">
      <c r="B199" s="167"/>
      <c r="G199" s="409"/>
      <c r="H199" s="13"/>
      <c r="I199" s="17"/>
      <c r="J199" s="50"/>
    </row>
    <row r="200" spans="1:10" x14ac:dyDescent="0.2">
      <c r="B200" s="167"/>
      <c r="G200" s="409"/>
      <c r="H200" s="13"/>
      <c r="I200" s="17"/>
      <c r="J200" s="50"/>
    </row>
    <row r="201" spans="1:10" x14ac:dyDescent="0.2">
      <c r="B201" s="167"/>
      <c r="G201" s="409"/>
      <c r="H201" s="13"/>
      <c r="I201" s="17"/>
      <c r="J201" s="50"/>
    </row>
    <row r="202" spans="1:10" x14ac:dyDescent="0.2">
      <c r="B202" s="167"/>
      <c r="G202" s="409"/>
      <c r="H202" s="39"/>
      <c r="I202" s="17"/>
      <c r="J202" s="416"/>
    </row>
    <row r="203" spans="1:10" x14ac:dyDescent="0.2">
      <c r="B203" s="167"/>
      <c r="G203" s="412"/>
      <c r="H203" s="417"/>
      <c r="I203" s="17"/>
      <c r="J203" s="418"/>
    </row>
    <row r="204" spans="1:10" x14ac:dyDescent="0.2">
      <c r="B204" s="167"/>
      <c r="G204" s="419"/>
      <c r="H204" s="420"/>
      <c r="I204" s="40"/>
      <c r="J204" s="421"/>
    </row>
    <row r="205" spans="1:10" x14ac:dyDescent="0.2">
      <c r="B205" s="167"/>
    </row>
    <row r="206" spans="1:10" ht="17.25" customHeight="1" x14ac:dyDescent="0.2">
      <c r="B206" s="167"/>
    </row>
    <row r="207" spans="1:10" ht="23.25" x14ac:dyDescent="0.35">
      <c r="A207" s="800" t="s">
        <v>328</v>
      </c>
      <c r="B207" s="508"/>
      <c r="C207" s="508"/>
      <c r="D207" s="496"/>
      <c r="E207" s="99"/>
      <c r="F207" s="480"/>
      <c r="G207" s="480"/>
      <c r="H207" s="480"/>
      <c r="I207" s="480"/>
      <c r="J207" s="480"/>
    </row>
    <row r="208" spans="1:10" x14ac:dyDescent="0.2">
      <c r="B208" s="167"/>
    </row>
    <row r="209" spans="2:10" x14ac:dyDescent="0.2">
      <c r="B209" s="167"/>
    </row>
    <row r="210" spans="2:10" x14ac:dyDescent="0.2">
      <c r="B210" s="167"/>
    </row>
    <row r="211" spans="2:10" x14ac:dyDescent="0.2">
      <c r="B211" s="167"/>
    </row>
    <row r="212" spans="2:10" ht="18.75" customHeight="1" x14ac:dyDescent="0.25">
      <c r="B212" s="167"/>
      <c r="H212" s="169" t="s">
        <v>70</v>
      </c>
      <c r="I212" s="802" t="s">
        <v>117</v>
      </c>
      <c r="J212" s="342" t="s">
        <v>115</v>
      </c>
    </row>
    <row r="213" spans="2:10" ht="17.25" customHeight="1" x14ac:dyDescent="0.2">
      <c r="B213" s="167"/>
      <c r="G213" s="82" t="str">
        <f>'Standard Ertragsphase'!A160</f>
        <v>Total Ernte</v>
      </c>
      <c r="H213" s="368">
        <f>'Standard Ertragsphase'!B160</f>
        <v>5359.0346666666655</v>
      </c>
      <c r="I213" s="807">
        <f>IF(OR(H213=0,H213=""),0,(J213/H213)-1)</f>
        <v>-0.85469758451172306</v>
      </c>
      <c r="J213" s="368">
        <f>'Variante Ertragsphase'!B161</f>
        <v>778.68068175207952</v>
      </c>
    </row>
    <row r="214" spans="2:10" s="301" customFormat="1" ht="18" customHeight="1" thickBot="1" x14ac:dyDescent="0.25">
      <c r="B214" s="404"/>
      <c r="C214" s="303"/>
      <c r="D214" s="300"/>
      <c r="E214" s="306"/>
      <c r="G214" s="405" t="str">
        <f>'Standard Ertragsphase'!A161</f>
        <v>übrige Produktionskosten</v>
      </c>
      <c r="H214" s="387">
        <f>'Standard Ertragsphase'!B161</f>
        <v>33773.112323214496</v>
      </c>
      <c r="I214" s="806">
        <f>IF(OR(H214=0,H214=""),0,(J214/H214)-1)</f>
        <v>0.13562876477276697</v>
      </c>
      <c r="J214" s="387">
        <f>'Variante Ertragsphase'!B162</f>
        <v>38353.717830143993</v>
      </c>
    </row>
    <row r="215" spans="2:10" ht="31.5" customHeight="1" x14ac:dyDescent="0.2">
      <c r="B215" s="167"/>
      <c r="G215" s="394" t="s">
        <v>347</v>
      </c>
      <c r="H215" s="396">
        <f>SUM(H213:H214)</f>
        <v>39132.146989881163</v>
      </c>
      <c r="I215" s="369">
        <f>IF(OR(H215=0,H215=""),0,(J215/H215)-1)</f>
        <v>6.4275035809302494E-6</v>
      </c>
      <c r="J215" s="396">
        <f>SUM(J213:J214)</f>
        <v>39132.39851189607</v>
      </c>
    </row>
    <row r="216" spans="2:10" x14ac:dyDescent="0.2">
      <c r="B216" s="167"/>
      <c r="I216" s="99"/>
    </row>
    <row r="217" spans="2:10" ht="15" customHeight="1" x14ac:dyDescent="0.2">
      <c r="B217" s="167"/>
      <c r="G217" s="326"/>
      <c r="H217" s="383"/>
      <c r="I217" s="369"/>
      <c r="J217" s="384"/>
    </row>
    <row r="218" spans="2:10" ht="17.25" customHeight="1" x14ac:dyDescent="0.2">
      <c r="B218" s="167"/>
      <c r="G218" s="326" t="str">
        <f>G213</f>
        <v>Total Ernte</v>
      </c>
      <c r="H218" s="383">
        <f>'Standard Ertragsphase'!C160</f>
        <v>0.13694711583426308</v>
      </c>
      <c r="I218" s="369"/>
      <c r="J218" s="384">
        <f>'Variante Ertragsphase'!C161</f>
        <v>1.9898618826427523E-2</v>
      </c>
    </row>
    <row r="219" spans="2:10" ht="17.25" customHeight="1" x14ac:dyDescent="0.2">
      <c r="B219" s="167"/>
      <c r="G219" s="326" t="str">
        <f>G214</f>
        <v>übrige Produktionskosten</v>
      </c>
      <c r="H219" s="383">
        <f>'Standard Ertragsphase'!C161</f>
        <v>0.86305288416573689</v>
      </c>
      <c r="I219" s="369"/>
      <c r="J219" s="384">
        <f>'Variante Ertragsphase'!C162</f>
        <v>0.98010138117357248</v>
      </c>
    </row>
    <row r="220" spans="2:10" ht="26.25" customHeight="1" x14ac:dyDescent="0.2">
      <c r="B220" s="167"/>
      <c r="I220" s="99"/>
    </row>
    <row r="221" spans="2:10" x14ac:dyDescent="0.2">
      <c r="B221" s="167"/>
      <c r="I221" s="99"/>
    </row>
    <row r="222" spans="2:10" x14ac:dyDescent="0.2">
      <c r="B222" s="167"/>
      <c r="I222" s="99"/>
    </row>
    <row r="223" spans="2:10" x14ac:dyDescent="0.2">
      <c r="B223" s="167"/>
      <c r="I223" s="99"/>
    </row>
    <row r="224" spans="2:10" x14ac:dyDescent="0.2">
      <c r="B224" s="167"/>
      <c r="I224" s="99"/>
    </row>
    <row r="225" spans="2:10" x14ac:dyDescent="0.2">
      <c r="B225" s="167"/>
      <c r="I225" s="99"/>
    </row>
    <row r="226" spans="2:10" x14ac:dyDescent="0.2">
      <c r="B226" s="167"/>
      <c r="I226" s="99"/>
    </row>
    <row r="227" spans="2:10" x14ac:dyDescent="0.2">
      <c r="B227" s="167"/>
      <c r="I227" s="99"/>
    </row>
    <row r="228" spans="2:10" x14ac:dyDescent="0.2">
      <c r="B228" s="167"/>
      <c r="I228" s="99"/>
    </row>
    <row r="229" spans="2:10" x14ac:dyDescent="0.2">
      <c r="B229" s="167"/>
      <c r="I229" s="99"/>
    </row>
    <row r="230" spans="2:10" x14ac:dyDescent="0.2">
      <c r="B230" s="167"/>
      <c r="I230" s="99"/>
    </row>
    <row r="231" spans="2:10" x14ac:dyDescent="0.2">
      <c r="B231" s="167"/>
      <c r="I231" s="99"/>
    </row>
    <row r="232" spans="2:10" ht="15.75" x14ac:dyDescent="0.25">
      <c r="B232" s="167"/>
      <c r="H232" s="169" t="s">
        <v>70</v>
      </c>
      <c r="I232" s="802" t="s">
        <v>117</v>
      </c>
      <c r="J232" s="342" t="s">
        <v>115</v>
      </c>
    </row>
    <row r="233" spans="2:10" x14ac:dyDescent="0.2">
      <c r="B233" s="167"/>
      <c r="G233" s="64" t="str">
        <f>'Standard Ertragsphase'!A164</f>
        <v>Maschinen</v>
      </c>
      <c r="H233" s="368">
        <f>'Standard Ertragsphase'!B164</f>
        <v>315.06666666666661</v>
      </c>
      <c r="I233" s="369">
        <f>IF(OR(H233=0,H233=""),0,(J233/H233)-1)</f>
        <v>4.4482920269484083E-5</v>
      </c>
      <c r="J233" s="368">
        <f>'Variante Ertragsphase'!B165</f>
        <v>315.0806817520795</v>
      </c>
    </row>
    <row r="234" spans="2:10" ht="13.5" thickBot="1" x14ac:dyDescent="0.25">
      <c r="B234" s="167"/>
      <c r="G234" s="399" t="str">
        <f>'Standard Ertragsphase'!A165</f>
        <v>Arbeit</v>
      </c>
      <c r="H234" s="387">
        <f>'Standard Ertragsphase'!B165</f>
        <v>5043.9679999999989</v>
      </c>
      <c r="I234" s="806">
        <f>IF(OR(H234=0,H234=""),0,(J234/H234)-1)</f>
        <v>-0.90808823529411764</v>
      </c>
      <c r="J234" s="387">
        <f>'Variante Ertragsphase'!B166</f>
        <v>463.6</v>
      </c>
    </row>
    <row r="235" spans="2:10" ht="15" x14ac:dyDescent="0.2">
      <c r="B235" s="167"/>
      <c r="G235" s="397" t="str">
        <f>'Standard Ertragsphase'!A166</f>
        <v>Total Ernte</v>
      </c>
      <c r="H235" s="398">
        <f>'Standard Ertragsphase'!B166</f>
        <v>5359.0346666666655</v>
      </c>
      <c r="I235" s="369">
        <f>IF(OR(H235=0,H235=""),0,(J235/H235)-1)</f>
        <v>-0.85469758451172306</v>
      </c>
      <c r="J235" s="398">
        <f>'Variante Ertragsphase'!B167</f>
        <v>778.68068175207952</v>
      </c>
    </row>
    <row r="236" spans="2:10" x14ac:dyDescent="0.2">
      <c r="B236" s="167"/>
      <c r="I236" s="369"/>
    </row>
    <row r="237" spans="2:10" x14ac:dyDescent="0.2">
      <c r="B237" s="167"/>
      <c r="I237" s="369"/>
    </row>
    <row r="238" spans="2:10" x14ac:dyDescent="0.2">
      <c r="B238" s="167"/>
      <c r="G238" t="str">
        <f>'Standard Ertragsphase'!A164</f>
        <v>Maschinen</v>
      </c>
      <c r="H238" s="377">
        <f>'Standard Ertragsphase'!C164</f>
        <v>5.8791682880200313E-2</v>
      </c>
      <c r="I238" s="369"/>
      <c r="J238" s="377">
        <f>'Variante Ertragsphase'!C165</f>
        <v>0.40463400355987844</v>
      </c>
    </row>
    <row r="239" spans="2:10" ht="18" customHeight="1" x14ac:dyDescent="0.2">
      <c r="B239" s="167"/>
      <c r="G239" t="str">
        <f>'Standard Ertragsphase'!A165</f>
        <v>Arbeit</v>
      </c>
      <c r="H239" s="377">
        <f>'Standard Ertragsphase'!C165</f>
        <v>0.94120831711979969</v>
      </c>
      <c r="I239" s="385"/>
      <c r="J239" s="377">
        <f>'Variante Ertragsphase'!C166</f>
        <v>0.59536599644012156</v>
      </c>
    </row>
    <row r="240" spans="2:10" ht="15.75" customHeight="1" x14ac:dyDescent="0.2">
      <c r="B240" s="167"/>
    </row>
    <row r="241" spans="2:2" ht="15.75" customHeight="1" x14ac:dyDescent="0.2">
      <c r="B241" s="167"/>
    </row>
    <row r="242" spans="2:2" ht="19.5" customHeight="1" x14ac:dyDescent="0.2">
      <c r="B242" s="167"/>
    </row>
    <row r="243" spans="2:2" x14ac:dyDescent="0.2">
      <c r="B243" s="167"/>
    </row>
    <row r="244" spans="2:2" x14ac:dyDescent="0.2">
      <c r="B244" s="167"/>
    </row>
    <row r="245" spans="2:2" ht="15.75" customHeight="1" x14ac:dyDescent="0.2">
      <c r="B245" s="167"/>
    </row>
    <row r="246" spans="2:2" ht="15.75" customHeight="1" x14ac:dyDescent="0.2">
      <c r="B246" s="167"/>
    </row>
    <row r="247" spans="2:2" x14ac:dyDescent="0.2">
      <c r="B247" s="167"/>
    </row>
    <row r="248" spans="2:2" x14ac:dyDescent="0.2">
      <c r="B248" s="167"/>
    </row>
    <row r="249" spans="2:2" x14ac:dyDescent="0.2">
      <c r="B249" s="167"/>
    </row>
    <row r="250" spans="2:2" x14ac:dyDescent="0.2">
      <c r="B250" s="167"/>
    </row>
    <row r="251" spans="2:2" x14ac:dyDescent="0.2">
      <c r="B251" s="167"/>
    </row>
    <row r="252" spans="2:2" x14ac:dyDescent="0.2">
      <c r="B252" s="167"/>
    </row>
    <row r="253" spans="2:2" x14ac:dyDescent="0.2">
      <c r="B253" s="167"/>
    </row>
    <row r="254" spans="2:2" x14ac:dyDescent="0.2">
      <c r="B254" s="167"/>
    </row>
    <row r="255" spans="2:2" x14ac:dyDescent="0.2">
      <c r="B255" s="167"/>
    </row>
    <row r="256" spans="2:2" x14ac:dyDescent="0.2">
      <c r="B256" s="167"/>
    </row>
    <row r="257" spans="1:10" x14ac:dyDescent="0.2">
      <c r="B257" s="167"/>
    </row>
    <row r="258" spans="1:10" x14ac:dyDescent="0.2">
      <c r="B258" s="167"/>
    </row>
    <row r="259" spans="1:10" ht="23.25" x14ac:dyDescent="0.35">
      <c r="A259" s="800" t="s">
        <v>318</v>
      </c>
      <c r="B259" s="480"/>
      <c r="C259" s="480"/>
      <c r="D259" s="480"/>
      <c r="E259" s="99"/>
      <c r="F259" s="692"/>
      <c r="G259" s="480"/>
      <c r="H259" s="480"/>
      <c r="I259" s="480"/>
      <c r="J259" s="508"/>
    </row>
  </sheetData>
  <protectedRanges>
    <protectedRange sqref="D5:D29" name="Bereich1"/>
  </protectedRanges>
  <dataConsolidate/>
  <mergeCells count="9">
    <mergeCell ref="A53:D53"/>
    <mergeCell ref="F53:J53"/>
    <mergeCell ref="F8:G8"/>
    <mergeCell ref="F7:G7"/>
    <mergeCell ref="F6:G6"/>
    <mergeCell ref="A4:K4"/>
    <mergeCell ref="F9:G9"/>
    <mergeCell ref="A31:D31"/>
    <mergeCell ref="F31:J31"/>
  </mergeCells>
  <phoneticPr fontId="24" type="noConversion"/>
  <pageMargins left="0.59055118110236227" right="0.39370078740157483" top="0.59055118110236227" bottom="0.78740157480314965" header="0.51181102362204722" footer="0.51181102362204722"/>
  <pageSetup paperSize="9" scale="68" orientation="landscape" horizontalDpi="720" verticalDpi="720" r:id="rId1"/>
  <headerFooter alignWithMargins="0">
    <oddFooter>&amp;L&amp;6&amp;A&amp;D&amp;R&amp;6 E-mail: patrik.mouron@faw.admin.ch</oddFooter>
  </headerFooter>
  <rowBreaks count="8" manualBreakCount="8">
    <brk id="30" max="16383" man="1"/>
    <brk id="52" max="16383" man="1"/>
    <brk id="72" max="16383" man="1"/>
    <brk id="113" max="16383" man="1"/>
    <brk id="162" max="16383" man="1"/>
    <brk id="206" max="16383" man="1"/>
    <brk id="258" max="16383" man="1"/>
    <brk id="314" max="16383" man="1"/>
  </rowBreaks>
  <colBreaks count="1" manualBreakCount="1">
    <brk id="10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tandardErstellung">
    <tabColor indexed="18"/>
  </sheetPr>
  <dimension ref="A1:AO159"/>
  <sheetViews>
    <sheetView zoomScale="75" workbookViewId="0">
      <selection activeCell="D53" sqref="D53"/>
    </sheetView>
  </sheetViews>
  <sheetFormatPr baseColWidth="10" defaultRowHeight="12.75" x14ac:dyDescent="0.2"/>
  <cols>
    <col min="1" max="1" width="31.7109375" customWidth="1"/>
    <col min="2" max="2" width="27.7109375" customWidth="1"/>
    <col min="3" max="3" width="14.5703125" customWidth="1"/>
    <col min="4" max="4" width="20.5703125" customWidth="1"/>
    <col min="5" max="5" width="17.7109375" customWidth="1"/>
    <col min="6" max="6" width="13.5703125" customWidth="1"/>
    <col min="7" max="7" width="13.7109375" customWidth="1"/>
    <col min="8" max="8" width="12.7109375" style="17" customWidth="1"/>
    <col min="9" max="9" width="13" style="17" customWidth="1"/>
    <col min="10" max="10" width="11.42578125" style="17" customWidth="1"/>
    <col min="11" max="11" width="12.7109375" style="17" customWidth="1"/>
    <col min="12" max="41" width="11.42578125" style="17" customWidth="1"/>
  </cols>
  <sheetData>
    <row r="1" spans="1:41" ht="45.75" customHeight="1" x14ac:dyDescent="0.3">
      <c r="A1" s="1036" t="str">
        <f>'Standard Vorgaben'!A1</f>
        <v>Arbokost 2023</v>
      </c>
      <c r="B1" s="593" t="str">
        <f>'Standard Vorgaben'!B9</f>
        <v>Tafelbirnen</v>
      </c>
      <c r="C1" s="448" t="str">
        <f>'Standard Vorgaben'!B10</f>
        <v>Conférence</v>
      </c>
      <c r="D1" s="448"/>
      <c r="E1" s="450"/>
      <c r="F1" s="453"/>
      <c r="G1" s="447"/>
    </row>
    <row r="2" spans="1:41" ht="24.75" customHeight="1" x14ac:dyDescent="0.3">
      <c r="A2" s="870" t="str">
        <f>'Standard Vorgaben'!A2</f>
        <v>Standard 1ha</v>
      </c>
      <c r="B2" s="638">
        <f>'Standard Vorgaben'!B12</f>
        <v>2000</v>
      </c>
      <c r="C2" s="448"/>
      <c r="D2" s="448"/>
      <c r="E2" s="450"/>
      <c r="F2" s="453"/>
      <c r="G2" s="447"/>
    </row>
    <row r="3" spans="1:41" ht="60" customHeight="1" x14ac:dyDescent="0.2">
      <c r="A3" s="455" t="str">
        <f>'Standard Vorgaben'!A3</f>
        <v>Definition Standard:</v>
      </c>
      <c r="B3" s="1273" t="str">
        <f>'Standard Vorgaben'!B3:I3</f>
        <v>Zeitgemässe Tafelbirnenanlage auf schwachwachsender Unterlage. Werte sind ausgelegt auf gemischtwirtschaftliche Betriebe mit 2 - 5 ha Obstfläche, an geeigneten Standort in einem der Hauptproduktionsgebiete der Schweiz.</v>
      </c>
      <c r="C3" s="1294"/>
      <c r="D3" s="1294"/>
      <c r="E3" s="1294"/>
      <c r="F3" s="1294"/>
      <c r="G3" s="1294"/>
      <c r="H3" s="862"/>
      <c r="I3" s="862"/>
    </row>
    <row r="4" spans="1:41" ht="20.25" customHeight="1" x14ac:dyDescent="0.25">
      <c r="A4" s="454"/>
      <c r="B4" s="638"/>
      <c r="C4" s="1279"/>
      <c r="D4" s="1274"/>
      <c r="E4" s="1274"/>
      <c r="F4" s="1274"/>
      <c r="G4" s="1274"/>
      <c r="H4" s="195"/>
    </row>
    <row r="5" spans="1:41" s="1" customFormat="1" ht="34.5" customHeight="1" x14ac:dyDescent="0.35">
      <c r="A5" s="552" t="s">
        <v>386</v>
      </c>
      <c r="B5" s="553"/>
      <c r="C5" s="553" t="s">
        <v>387</v>
      </c>
      <c r="D5" s="554"/>
      <c r="E5" s="555"/>
      <c r="F5" s="554"/>
      <c r="G5" s="554"/>
    </row>
    <row r="6" spans="1:41" s="1" customFormat="1" ht="15" customHeight="1" x14ac:dyDescent="0.2">
      <c r="A6" s="1255" t="s">
        <v>612</v>
      </c>
      <c r="B6"/>
      <c r="C6" s="1256">
        <v>0.18</v>
      </c>
      <c r="D6" s="104"/>
      <c r="E6" s="882"/>
      <c r="F6" s="104"/>
      <c r="G6" s="331" t="s">
        <v>110</v>
      </c>
    </row>
    <row r="7" spans="1:41" ht="24" customHeight="1" x14ac:dyDescent="0.3">
      <c r="A7" s="506" t="s">
        <v>424</v>
      </c>
      <c r="B7" s="556"/>
      <c r="C7" s="556"/>
      <c r="D7" s="556"/>
      <c r="E7" s="1280" t="s">
        <v>481</v>
      </c>
      <c r="F7" s="1272"/>
      <c r="G7" s="1272"/>
    </row>
    <row r="8" spans="1:41" s="16" customFormat="1" x14ac:dyDescent="0.2">
      <c r="A8" s="1"/>
      <c r="B8" s="3"/>
      <c r="C8" s="22" t="s">
        <v>11</v>
      </c>
      <c r="D8" s="22" t="s">
        <v>12</v>
      </c>
      <c r="E8" s="129" t="s">
        <v>13</v>
      </c>
      <c r="F8" s="130"/>
      <c r="G8" s="22"/>
      <c r="H8" s="21"/>
      <c r="I8" s="101"/>
      <c r="J8" s="10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</row>
    <row r="9" spans="1:41" x14ac:dyDescent="0.2">
      <c r="A9" s="3" t="s">
        <v>8</v>
      </c>
      <c r="B9" s="1"/>
      <c r="C9" s="181">
        <f>'Standard Vorgaben'!B26</f>
        <v>2000</v>
      </c>
      <c r="D9" s="62">
        <f>'Standard Vorgaben'!C33</f>
        <v>10</v>
      </c>
      <c r="E9" s="77">
        <f>C9*D9</f>
        <v>20000</v>
      </c>
      <c r="F9" s="230">
        <f>E9/$E$48</f>
        <v>0.51055143895093935</v>
      </c>
      <c r="H9" s="857"/>
      <c r="I9" s="426"/>
    </row>
    <row r="10" spans="1:41" x14ac:dyDescent="0.2">
      <c r="A10" s="3" t="s">
        <v>157</v>
      </c>
      <c r="B10" s="1" t="s">
        <v>183</v>
      </c>
      <c r="C10" s="181">
        <f>2*'Standard Vorgaben'!C25</f>
        <v>46</v>
      </c>
      <c r="D10" s="89">
        <f>14*(1+C6)</f>
        <v>16.52</v>
      </c>
      <c r="E10" s="120">
        <f>C10*D10</f>
        <v>759.92</v>
      </c>
      <c r="F10" s="230">
        <f t="shared" ref="F10:F17" si="0">E10/$E$48</f>
        <v>1.939891247437989E-2</v>
      </c>
      <c r="H10" s="857"/>
      <c r="I10" s="426"/>
    </row>
    <row r="11" spans="1:41" x14ac:dyDescent="0.2">
      <c r="A11" s="3"/>
      <c r="B11" s="1" t="s">
        <v>184</v>
      </c>
      <c r="C11" s="143">
        <f>((ROUND('Standard Vorgaben'!C20/7,0))-1)*'Standard Vorgaben'!C25</f>
        <v>368</v>
      </c>
      <c r="D11" s="89">
        <f>10*(1+C6)</f>
        <v>11.799999999999999</v>
      </c>
      <c r="E11" s="43">
        <f t="shared" ref="E11:E16" si="1">C11*D11</f>
        <v>4342.3999999999996</v>
      </c>
      <c r="F11" s="230">
        <f t="shared" si="0"/>
        <v>0.11085092842502793</v>
      </c>
      <c r="H11" s="857"/>
      <c r="I11" s="426"/>
    </row>
    <row r="12" spans="1:41" x14ac:dyDescent="0.2">
      <c r="A12" s="3"/>
      <c r="B12" s="1" t="s">
        <v>379</v>
      </c>
      <c r="C12" s="181">
        <f>C9</f>
        <v>2000</v>
      </c>
      <c r="D12" s="89">
        <f>1.35*(1+C6)</f>
        <v>1.593</v>
      </c>
      <c r="E12" s="43">
        <f t="shared" si="1"/>
        <v>3186</v>
      </c>
      <c r="F12" s="230">
        <f t="shared" si="0"/>
        <v>8.1330844224884624E-2</v>
      </c>
      <c r="G12" s="114"/>
      <c r="H12" s="857"/>
      <c r="I12" s="426"/>
    </row>
    <row r="13" spans="1:41" x14ac:dyDescent="0.2">
      <c r="A13" s="3"/>
      <c r="B13" s="1" t="s">
        <v>186</v>
      </c>
      <c r="C13" s="143">
        <f>C10</f>
        <v>46</v>
      </c>
      <c r="D13" s="89">
        <f>5.2*(1+C6)</f>
        <v>6.1360000000000001</v>
      </c>
      <c r="E13" s="43">
        <f t="shared" si="1"/>
        <v>282.25600000000003</v>
      </c>
      <c r="F13" s="230">
        <f t="shared" si="0"/>
        <v>7.2053103476268166E-3</v>
      </c>
      <c r="G13" s="114"/>
      <c r="H13" s="857"/>
      <c r="I13" s="426"/>
    </row>
    <row r="14" spans="1:41" x14ac:dyDescent="0.2">
      <c r="A14" s="3"/>
      <c r="B14" s="1" t="s">
        <v>187</v>
      </c>
      <c r="C14" s="268">
        <f>'Standard Vorgaben'!C20*'Standard Vorgaben'!C25</f>
        <v>2760</v>
      </c>
      <c r="D14" s="89">
        <f>0.16*(1+C6)</f>
        <v>0.1888</v>
      </c>
      <c r="E14" s="60">
        <f t="shared" si="1"/>
        <v>521.08799999999997</v>
      </c>
      <c r="F14" s="230">
        <f t="shared" si="0"/>
        <v>1.3302111411003351E-2</v>
      </c>
      <c r="G14" s="114"/>
      <c r="H14" s="857"/>
      <c r="I14" s="426"/>
    </row>
    <row r="15" spans="1:41" x14ac:dyDescent="0.2">
      <c r="A15" s="3"/>
      <c r="B15" s="1" t="s">
        <v>188</v>
      </c>
      <c r="C15" s="144">
        <v>6</v>
      </c>
      <c r="D15" s="89">
        <f>5.5*(1+C6)</f>
        <v>6.4899999999999993</v>
      </c>
      <c r="E15" s="60">
        <f t="shared" si="1"/>
        <v>38.94</v>
      </c>
      <c r="F15" s="230">
        <f t="shared" si="0"/>
        <v>9.940436516374788E-4</v>
      </c>
      <c r="G15" s="114"/>
      <c r="H15" s="857"/>
      <c r="I15" s="426"/>
    </row>
    <row r="16" spans="1:41" x14ac:dyDescent="0.2">
      <c r="A16" s="3"/>
      <c r="B16" s="1" t="s">
        <v>189</v>
      </c>
      <c r="C16" s="181">
        <f>C9</f>
        <v>2000</v>
      </c>
      <c r="D16" s="89">
        <f>0.2*(1+C6)</f>
        <v>0.23599999999999999</v>
      </c>
      <c r="E16" s="118">
        <f t="shared" si="1"/>
        <v>472</v>
      </c>
      <c r="F16" s="230">
        <f t="shared" si="0"/>
        <v>1.2049013959242167E-2</v>
      </c>
      <c r="G16" s="114"/>
      <c r="H16" s="857"/>
      <c r="I16" s="426"/>
    </row>
    <row r="17" spans="1:9" ht="13.5" customHeight="1" x14ac:dyDescent="0.2">
      <c r="A17" s="3"/>
      <c r="B17" s="1"/>
      <c r="C17" s="6"/>
      <c r="D17" s="30"/>
      <c r="E17" s="269">
        <f>SUM(E10:E16)</f>
        <v>9602.6039999999994</v>
      </c>
      <c r="F17" s="230">
        <f t="shared" si="0"/>
        <v>0.24513116449380226</v>
      </c>
      <c r="G17" s="114"/>
      <c r="H17" s="857"/>
      <c r="I17" s="426"/>
    </row>
    <row r="18" spans="1:9" x14ac:dyDescent="0.2">
      <c r="A18" s="3" t="s">
        <v>17</v>
      </c>
      <c r="B18" s="1" t="s">
        <v>486</v>
      </c>
      <c r="C18" s="557">
        <f>'Standard Vorgaben'!C113</f>
        <v>0</v>
      </c>
      <c r="D18" s="62">
        <f>'Standard Vorgaben'!C111</f>
        <v>0.43</v>
      </c>
      <c r="E18" s="43">
        <f>C18*D18</f>
        <v>0</v>
      </c>
      <c r="F18" s="132">
        <f>E18/E48</f>
        <v>0</v>
      </c>
      <c r="G18" s="5"/>
      <c r="H18" s="857"/>
    </row>
    <row r="19" spans="1:9" x14ac:dyDescent="0.2">
      <c r="A19" s="3"/>
      <c r="B19" s="110"/>
      <c r="C19" s="557">
        <f>'Standard Vorgaben'!B113</f>
        <v>0</v>
      </c>
      <c r="D19" s="62">
        <f>'Standard Vorgaben'!B111</f>
        <v>0.95</v>
      </c>
      <c r="E19" s="43">
        <f>C19*D19</f>
        <v>0</v>
      </c>
      <c r="F19" s="132">
        <f>E19/E48</f>
        <v>0</v>
      </c>
      <c r="G19" s="5"/>
      <c r="H19" s="857"/>
    </row>
    <row r="20" spans="1:9" x14ac:dyDescent="0.2">
      <c r="A20" s="1"/>
      <c r="B20" s="1" t="s">
        <v>34</v>
      </c>
      <c r="C20" s="144">
        <v>40</v>
      </c>
      <c r="D20" s="89">
        <v>7.2</v>
      </c>
      <c r="E20" s="43">
        <f>C20*D20</f>
        <v>288</v>
      </c>
      <c r="F20" s="132">
        <f>E20/E48</f>
        <v>7.3519407208935258E-3</v>
      </c>
      <c r="G20" s="5"/>
      <c r="H20" s="857"/>
      <c r="I20" s="426"/>
    </row>
    <row r="21" spans="1:9" x14ac:dyDescent="0.2">
      <c r="A21" s="1"/>
      <c r="B21" s="1" t="s">
        <v>18</v>
      </c>
      <c r="C21" s="6"/>
      <c r="D21" s="46"/>
      <c r="E21" s="89">
        <v>125</v>
      </c>
      <c r="F21" s="132">
        <f>E21/E48</f>
        <v>3.1909464934433704E-3</v>
      </c>
      <c r="G21" s="5"/>
      <c r="H21" s="857"/>
      <c r="I21" s="426"/>
    </row>
    <row r="22" spans="1:9" x14ac:dyDescent="0.2">
      <c r="A22" s="1"/>
      <c r="B22" s="1" t="s">
        <v>158</v>
      </c>
      <c r="C22" s="6"/>
      <c r="D22" s="46"/>
      <c r="E22" s="140">
        <v>500</v>
      </c>
      <c r="F22" s="132">
        <f>E22/E48</f>
        <v>1.2763785973773482E-2</v>
      </c>
      <c r="G22" s="5"/>
      <c r="H22" s="857"/>
      <c r="I22" s="426"/>
    </row>
    <row r="23" spans="1:9" x14ac:dyDescent="0.2">
      <c r="A23" s="1"/>
      <c r="B23" s="1"/>
      <c r="C23" s="1"/>
      <c r="D23" s="62"/>
      <c r="E23" s="77">
        <f>SUM(E18:E22)</f>
        <v>913</v>
      </c>
      <c r="F23" s="230">
        <f>E23/E48</f>
        <v>2.3306673188110378E-2</v>
      </c>
      <c r="G23" s="5"/>
      <c r="H23" s="857"/>
      <c r="I23" s="426"/>
    </row>
    <row r="24" spans="1:9" ht="15.75" x14ac:dyDescent="0.25">
      <c r="A24" s="443" t="s">
        <v>255</v>
      </c>
      <c r="B24" s="437"/>
      <c r="C24" s="558"/>
      <c r="D24" s="559"/>
      <c r="E24" s="560">
        <f>E23+E17+E9</f>
        <v>30515.603999999999</v>
      </c>
      <c r="F24" s="561">
        <f>E24/E48</f>
        <v>0.77898927663285189</v>
      </c>
      <c r="G24" s="811"/>
      <c r="H24" s="426"/>
      <c r="I24" s="426"/>
    </row>
    <row r="25" spans="1:9" x14ac:dyDescent="0.2">
      <c r="A25" s="3"/>
      <c r="B25" s="1"/>
      <c r="C25" s="123" t="s">
        <v>78</v>
      </c>
      <c r="D25" s="128" t="s">
        <v>21</v>
      </c>
      <c r="E25" s="124" t="s">
        <v>13</v>
      </c>
      <c r="F25" s="132"/>
      <c r="G25" s="5"/>
      <c r="H25" s="426"/>
      <c r="I25" s="426"/>
    </row>
    <row r="26" spans="1:9" x14ac:dyDescent="0.2">
      <c r="A26" s="3" t="s">
        <v>23</v>
      </c>
      <c r="B26" s="1" t="str">
        <f>'Standard Vorgaben'!B162</f>
        <v>Pflug 2scharig</v>
      </c>
      <c r="C26" s="47">
        <f>'Standard Vorgaben'!C162</f>
        <v>3.8</v>
      </c>
      <c r="D26" s="562">
        <f>'Standard Vorgaben'!D162</f>
        <v>23</v>
      </c>
      <c r="E26" s="43">
        <f>C26*D26</f>
        <v>87.399999999999991</v>
      </c>
      <c r="F26" s="132">
        <f>E26/E48</f>
        <v>2.2311097882156045E-3</v>
      </c>
      <c r="G26" s="5"/>
      <c r="H26" s="857"/>
      <c r="I26" s="426"/>
    </row>
    <row r="27" spans="1:9" x14ac:dyDescent="0.2">
      <c r="A27" s="232"/>
      <c r="B27" s="1" t="str">
        <f>'Standard Vorgaben'!B163</f>
        <v>Kreiselegge mit Packerwalze, 3 m</v>
      </c>
      <c r="C27" s="47">
        <f>'Standard Vorgaben'!C163</f>
        <v>1.8</v>
      </c>
      <c r="D27" s="562">
        <f>'Standard Vorgaben'!D163</f>
        <v>101</v>
      </c>
      <c r="E27" s="43">
        <f>C27*D27</f>
        <v>181.8</v>
      </c>
      <c r="F27" s="132">
        <f>E27/E48</f>
        <v>4.640912580064039E-3</v>
      </c>
      <c r="G27" s="5"/>
      <c r="H27" s="857"/>
      <c r="I27" s="426"/>
    </row>
    <row r="28" spans="1:9" x14ac:dyDescent="0.2">
      <c r="A28" s="201">
        <v>2</v>
      </c>
      <c r="B28" s="1" t="str">
        <f>'Standard Vorgaben'!B152</f>
        <v>Düngerstreuer Einkasten 2.5 m</v>
      </c>
      <c r="C28" s="47">
        <f>'Standard Vorgaben'!C164*A28</f>
        <v>3.2</v>
      </c>
      <c r="D28" s="562">
        <f>'Standard Vorgaben'!D152</f>
        <v>18</v>
      </c>
      <c r="E28" s="43">
        <f>C28*D28</f>
        <v>57.6</v>
      </c>
      <c r="F28" s="132">
        <f>E28/E48</f>
        <v>1.4703881441787052E-3</v>
      </c>
      <c r="G28" s="5"/>
      <c r="H28" s="857"/>
    </row>
    <row r="29" spans="1:9" x14ac:dyDescent="0.2">
      <c r="A29" s="1"/>
      <c r="B29" s="1" t="str">
        <f>'Standard Vorgaben'!B164</f>
        <v>Sämaschine 3 m</v>
      </c>
      <c r="C29" s="47">
        <f>'Standard Vorgaben'!C164</f>
        <v>1.6</v>
      </c>
      <c r="D29" s="562">
        <f>'Standard Vorgaben'!D164</f>
        <v>90</v>
      </c>
      <c r="E29" s="43">
        <f>C29*D29</f>
        <v>144</v>
      </c>
      <c r="F29" s="132">
        <f>E29/E48</f>
        <v>3.6759703604467629E-3</v>
      </c>
      <c r="G29" s="5"/>
      <c r="H29" s="857"/>
      <c r="I29" s="426"/>
    </row>
    <row r="30" spans="1:9" x14ac:dyDescent="0.2">
      <c r="A30" s="1"/>
      <c r="B30" s="1" t="str">
        <f>'Standard Vorgaben'!B165</f>
        <v>Pneuwagen 2achsig, 3 t</v>
      </c>
      <c r="C30" s="563">
        <f>(C41+C42+C43)*'Standard Vorgaben'!C165</f>
        <v>15.5</v>
      </c>
      <c r="D30" s="142">
        <f>'Standard Vorgaben'!D165</f>
        <v>14.1</v>
      </c>
      <c r="E30" s="118">
        <f>C30*D30</f>
        <v>218.54999999999998</v>
      </c>
      <c r="F30" s="132">
        <f>E30/E48</f>
        <v>5.5790508491363891E-3</v>
      </c>
      <c r="G30" s="5"/>
      <c r="H30" s="857"/>
      <c r="I30" s="426"/>
    </row>
    <row r="31" spans="1:9" x14ac:dyDescent="0.2">
      <c r="A31" s="1"/>
      <c r="B31" s="1"/>
      <c r="C31" s="47">
        <f>SUM(C26:C30)</f>
        <v>25.9</v>
      </c>
      <c r="D31" s="62"/>
      <c r="E31" s="43">
        <f>SUM(E26:E30)</f>
        <v>689.35</v>
      </c>
      <c r="F31" s="131">
        <f>E31/E48</f>
        <v>1.75974317220415E-2</v>
      </c>
      <c r="G31" s="5"/>
      <c r="H31" s="426"/>
      <c r="I31" s="426"/>
    </row>
    <row r="32" spans="1:9" x14ac:dyDescent="0.2">
      <c r="A32" s="3" t="s">
        <v>24</v>
      </c>
      <c r="B32" s="1" t="str">
        <f>'Standard Vorgaben'!B161</f>
        <v>Obstbautraktor 4-Rad (45-54 kW, 61-73 PS)</v>
      </c>
      <c r="C32" s="47">
        <f>C31</f>
        <v>25.9</v>
      </c>
      <c r="D32" s="142">
        <f>'Standard Vorgaben'!D161</f>
        <v>41</v>
      </c>
      <c r="E32" s="43">
        <f>C32*D32</f>
        <v>1061.8999999999999</v>
      </c>
      <c r="F32" s="132">
        <f>E32/E48</f>
        <v>2.7107728651100119E-2</v>
      </c>
      <c r="G32" s="5"/>
      <c r="H32" s="857"/>
      <c r="I32" s="426"/>
    </row>
    <row r="33" spans="1:41" ht="13.5" thickBot="1" x14ac:dyDescent="0.25">
      <c r="A33" s="1" t="s">
        <v>25</v>
      </c>
      <c r="B33" s="1"/>
      <c r="C33" s="47"/>
      <c r="D33" s="62"/>
      <c r="E33" s="197">
        <f>'Standard Vorgaben'!D167</f>
        <v>500</v>
      </c>
      <c r="F33" s="132">
        <f>E33/E48</f>
        <v>1.2763785973773482E-2</v>
      </c>
      <c r="G33" s="5"/>
      <c r="H33" s="857"/>
      <c r="I33" s="426"/>
    </row>
    <row r="34" spans="1:41" x14ac:dyDescent="0.2">
      <c r="A34" s="3" t="s">
        <v>26</v>
      </c>
      <c r="B34" s="1"/>
      <c r="C34" s="47"/>
      <c r="D34" s="62"/>
      <c r="E34" s="77">
        <f>E31+E32+E33</f>
        <v>2251.25</v>
      </c>
      <c r="F34" s="131">
        <f>E34/E48</f>
        <v>5.7468946346915108E-2</v>
      </c>
      <c r="G34" s="5"/>
      <c r="H34" s="857"/>
      <c r="I34" s="426"/>
    </row>
    <row r="35" spans="1:41" x14ac:dyDescent="0.2">
      <c r="A35" s="1"/>
      <c r="B35" s="1"/>
      <c r="C35" s="123" t="s">
        <v>27</v>
      </c>
      <c r="D35" s="128" t="s">
        <v>21</v>
      </c>
      <c r="E35" s="124" t="s">
        <v>22</v>
      </c>
      <c r="F35" s="132"/>
      <c r="G35" s="5"/>
      <c r="H35" s="857"/>
      <c r="I35" s="426"/>
    </row>
    <row r="36" spans="1:41" x14ac:dyDescent="0.2">
      <c r="A36" s="3" t="s">
        <v>28</v>
      </c>
      <c r="B36" s="1" t="s">
        <v>192</v>
      </c>
      <c r="C36" s="47">
        <f>C26</f>
        <v>3.8</v>
      </c>
      <c r="D36" s="62">
        <f>'Standard Vorgaben'!$C$38</f>
        <v>32.700000000000003</v>
      </c>
      <c r="E36" s="43">
        <f t="shared" ref="E36:E45" si="2">C36*D36</f>
        <v>124.26</v>
      </c>
      <c r="F36" s="132">
        <f>E36/E48</f>
        <v>3.1720560902021859E-3</v>
      </c>
      <c r="G36" s="5"/>
      <c r="H36" s="857"/>
      <c r="I36" s="426"/>
    </row>
    <row r="37" spans="1:41" x14ac:dyDescent="0.2">
      <c r="A37" s="1"/>
      <c r="B37" s="1" t="s">
        <v>193</v>
      </c>
      <c r="C37" s="47">
        <f>C27</f>
        <v>1.8</v>
      </c>
      <c r="D37" s="62">
        <f>'Standard Vorgaben'!$C$38</f>
        <v>32.700000000000003</v>
      </c>
      <c r="E37" s="43">
        <f t="shared" si="2"/>
        <v>58.860000000000007</v>
      </c>
      <c r="F37" s="132">
        <f>E37/E48</f>
        <v>1.5025528848326146E-3</v>
      </c>
      <c r="G37" s="5"/>
      <c r="H37" s="857"/>
      <c r="I37" s="426"/>
    </row>
    <row r="38" spans="1:41" x14ac:dyDescent="0.2">
      <c r="A38" s="1"/>
      <c r="B38" s="1" t="s">
        <v>29</v>
      </c>
      <c r="C38" s="47">
        <f>C28</f>
        <v>3.2</v>
      </c>
      <c r="D38" s="62">
        <f>'Standard Vorgaben'!$C$38</f>
        <v>32.700000000000003</v>
      </c>
      <c r="E38" s="43">
        <f t="shared" si="2"/>
        <v>104.64000000000001</v>
      </c>
      <c r="F38" s="132">
        <f>E38/E48</f>
        <v>2.671205128591315E-3</v>
      </c>
      <c r="G38" s="5"/>
      <c r="H38" s="857"/>
      <c r="I38" s="426"/>
    </row>
    <row r="39" spans="1:41" x14ac:dyDescent="0.2">
      <c r="A39" s="1"/>
      <c r="B39" s="1" t="s">
        <v>30</v>
      </c>
      <c r="C39" s="141">
        <v>1</v>
      </c>
      <c r="D39" s="62">
        <f>'Standard Vorgaben'!$C$38</f>
        <v>32.700000000000003</v>
      </c>
      <c r="E39" s="43">
        <f t="shared" si="2"/>
        <v>32.700000000000003</v>
      </c>
      <c r="F39" s="132">
        <f>E39/E48</f>
        <v>8.3475160268478587E-4</v>
      </c>
      <c r="G39" s="5"/>
      <c r="H39" s="857"/>
      <c r="I39" s="426"/>
    </row>
    <row r="40" spans="1:41" x14ac:dyDescent="0.2">
      <c r="A40" s="1"/>
      <c r="B40" s="1" t="s">
        <v>31</v>
      </c>
      <c r="C40" s="141">
        <v>7.5</v>
      </c>
      <c r="D40" s="62">
        <f>'Standard Vorgaben'!$C$38</f>
        <v>32.700000000000003</v>
      </c>
      <c r="E40" s="43">
        <f t="shared" si="2"/>
        <v>245.25000000000003</v>
      </c>
      <c r="F40" s="132">
        <f>E40/E48</f>
        <v>6.2606370201358941E-3</v>
      </c>
      <c r="G40" s="5"/>
      <c r="H40" s="857"/>
      <c r="I40" s="426"/>
    </row>
    <row r="41" spans="1:41" x14ac:dyDescent="0.2">
      <c r="A41" s="11" t="s">
        <v>191</v>
      </c>
      <c r="B41" s="1" t="s">
        <v>32</v>
      </c>
      <c r="C41" s="141">
        <v>75</v>
      </c>
      <c r="D41" s="62">
        <f>'Standard Vorgaben'!$C$38</f>
        <v>32.700000000000003</v>
      </c>
      <c r="E41" s="43">
        <f t="shared" si="2"/>
        <v>2452.5</v>
      </c>
      <c r="F41" s="132">
        <f>E41/E48</f>
        <v>6.2606370201358938E-2</v>
      </c>
      <c r="G41" s="5"/>
      <c r="H41" s="857"/>
      <c r="I41" s="426"/>
    </row>
    <row r="42" spans="1:41" x14ac:dyDescent="0.2">
      <c r="A42" s="11" t="s">
        <v>191</v>
      </c>
      <c r="B42" s="1" t="s">
        <v>160</v>
      </c>
      <c r="C42" s="141">
        <v>10</v>
      </c>
      <c r="D42" s="62">
        <f>'Standard Vorgaben'!$C$38</f>
        <v>32.700000000000003</v>
      </c>
      <c r="E42" s="43">
        <f t="shared" si="2"/>
        <v>327</v>
      </c>
      <c r="F42" s="132">
        <f>E42/$E$48</f>
        <v>8.3475160268478583E-3</v>
      </c>
      <c r="G42" s="5"/>
      <c r="H42" s="857"/>
      <c r="I42" s="426"/>
    </row>
    <row r="43" spans="1:41" x14ac:dyDescent="0.2">
      <c r="A43" s="11" t="s">
        <v>191</v>
      </c>
      <c r="B43" s="1" t="s">
        <v>327</v>
      </c>
      <c r="C43" s="141">
        <v>70</v>
      </c>
      <c r="D43" s="62">
        <f>'Standard Vorgaben'!$C$38</f>
        <v>32.700000000000003</v>
      </c>
      <c r="E43" s="43">
        <f>C43*D43</f>
        <v>2289</v>
      </c>
      <c r="F43" s="132">
        <f>E43/$E$48</f>
        <v>5.8432612187935003E-2</v>
      </c>
      <c r="G43" s="5"/>
      <c r="H43" s="857"/>
      <c r="I43" s="426"/>
    </row>
    <row r="44" spans="1:41" x14ac:dyDescent="0.2">
      <c r="A44" s="1"/>
      <c r="B44" s="1" t="s">
        <v>34</v>
      </c>
      <c r="C44" s="47">
        <f>C29</f>
        <v>1.6</v>
      </c>
      <c r="D44" s="62">
        <f>'Standard Vorgaben'!$C$38</f>
        <v>32.700000000000003</v>
      </c>
      <c r="E44" s="43">
        <f t="shared" si="2"/>
        <v>52.320000000000007</v>
      </c>
      <c r="F44" s="132">
        <f>E44/E48</f>
        <v>1.3356025642956575E-3</v>
      </c>
      <c r="G44" s="5"/>
      <c r="H44" s="857"/>
      <c r="I44" s="426"/>
    </row>
    <row r="45" spans="1:41" ht="13.5" thickBot="1" x14ac:dyDescent="0.25">
      <c r="A45" s="1"/>
      <c r="B45" s="1" t="s">
        <v>136</v>
      </c>
      <c r="C45" s="563">
        <f>SUM(C36:C44)*0.1</f>
        <v>17.39</v>
      </c>
      <c r="D45" s="62">
        <f>'Standard Vorgaben'!$C$34</f>
        <v>41.4</v>
      </c>
      <c r="E45" s="197">
        <f t="shared" si="2"/>
        <v>719.94600000000003</v>
      </c>
      <c r="F45" s="132">
        <f>E45/E48</f>
        <v>1.8378473313348648E-2</v>
      </c>
      <c r="G45" s="5"/>
      <c r="H45" s="857"/>
      <c r="I45" s="426"/>
    </row>
    <row r="46" spans="1:41" x14ac:dyDescent="0.2">
      <c r="A46" s="1"/>
      <c r="B46" s="1"/>
      <c r="C46" s="215">
        <f>SUM(C36:C45)</f>
        <v>191.29000000000002</v>
      </c>
      <c r="D46" s="62"/>
      <c r="E46" s="77">
        <f>SUM(E36:E45)</f>
        <v>6406.4759999999997</v>
      </c>
      <c r="F46" s="131">
        <f>E46/E48</f>
        <v>0.16354177702023287</v>
      </c>
      <c r="G46" s="5"/>
      <c r="H46" s="426"/>
      <c r="I46" s="426"/>
    </row>
    <row r="47" spans="1:41" s="20" customFormat="1" ht="15.75" x14ac:dyDescent="0.25">
      <c r="A47" s="443" t="s">
        <v>35</v>
      </c>
      <c r="B47" s="564"/>
      <c r="C47" s="565"/>
      <c r="D47" s="566"/>
      <c r="E47" s="567">
        <f>E46+E34</f>
        <v>8657.7259999999987</v>
      </c>
      <c r="F47" s="568">
        <f>E47/E48</f>
        <v>0.22101072336714797</v>
      </c>
      <c r="G47" s="812"/>
      <c r="H47" s="427"/>
      <c r="I47" s="427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  <c r="AL47" s="100"/>
      <c r="AM47" s="100"/>
      <c r="AN47" s="100"/>
      <c r="AO47" s="100"/>
    </row>
    <row r="48" spans="1:41" s="28" customFormat="1" ht="18" x14ac:dyDescent="0.25">
      <c r="A48" s="569" t="s">
        <v>171</v>
      </c>
      <c r="B48" s="570"/>
      <c r="C48" s="571"/>
      <c r="D48" s="572"/>
      <c r="E48" s="573">
        <f>E47+E24</f>
        <v>39173.33</v>
      </c>
      <c r="F48" s="574">
        <f>E48/E48</f>
        <v>1</v>
      </c>
      <c r="G48" s="813"/>
      <c r="H48" s="428"/>
      <c r="I48" s="863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</row>
    <row r="49" spans="1:41" s="28" customFormat="1" ht="10.5" customHeight="1" x14ac:dyDescent="0.25">
      <c r="A49" s="575"/>
      <c r="B49" s="576"/>
      <c r="C49" s="577"/>
      <c r="D49" s="578"/>
      <c r="E49" s="579"/>
      <c r="F49" s="580"/>
      <c r="G49" s="27"/>
      <c r="H49" s="428"/>
      <c r="I49" s="428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</row>
    <row r="50" spans="1:41" ht="28.5" customHeight="1" x14ac:dyDescent="0.25">
      <c r="A50" s="582" t="s">
        <v>14</v>
      </c>
      <c r="B50" s="855"/>
      <c r="C50" s="856"/>
      <c r="D50" s="856"/>
      <c r="E50" s="1277" t="s">
        <v>482</v>
      </c>
      <c r="F50" s="1278"/>
      <c r="G50" s="1272"/>
      <c r="H50" s="216"/>
      <c r="I50" s="850"/>
      <c r="J50" s="850"/>
      <c r="K50" s="850"/>
      <c r="L50" s="1292"/>
      <c r="M50" s="1293"/>
      <c r="N50" s="23"/>
    </row>
    <row r="51" spans="1:41" ht="15.75" customHeight="1" x14ac:dyDescent="0.25">
      <c r="B51" s="17"/>
      <c r="C51" s="139" t="s">
        <v>11</v>
      </c>
      <c r="D51" s="139" t="s">
        <v>12</v>
      </c>
      <c r="E51" s="139" t="s">
        <v>13</v>
      </c>
      <c r="F51" s="49"/>
      <c r="G51" s="883"/>
      <c r="H51" s="23"/>
      <c r="I51" s="58"/>
      <c r="J51" s="58"/>
      <c r="K51" s="58"/>
      <c r="L51" s="46"/>
      <c r="M51" s="1"/>
      <c r="N51" s="23"/>
    </row>
    <row r="52" spans="1:41" ht="15" customHeight="1" x14ac:dyDescent="0.25">
      <c r="B52" s="1" t="s">
        <v>94</v>
      </c>
      <c r="C52" s="583">
        <f>('Standard Vorgaben'!B20+'Standard Vorgaben'!B21)*2</f>
        <v>410</v>
      </c>
      <c r="D52" s="89">
        <f>6.9*(1+C6)</f>
        <v>8.1419999999999995</v>
      </c>
      <c r="E52" s="43">
        <f t="shared" ref="E52:E58" si="3">C52*D52</f>
        <v>3338.22</v>
      </c>
      <c r="F52" s="132">
        <f>E52/E71</f>
        <v>0.47269960506963271</v>
      </c>
      <c r="G52" s="1"/>
      <c r="H52" s="857"/>
      <c r="I52" s="583"/>
      <c r="J52" s="62"/>
      <c r="K52" s="43"/>
      <c r="L52" s="863"/>
      <c r="M52" s="1"/>
      <c r="N52" s="851"/>
    </row>
    <row r="53" spans="1:41" ht="15" customHeight="1" x14ac:dyDescent="0.2">
      <c r="B53" s="1" t="s">
        <v>417</v>
      </c>
      <c r="C53" s="143">
        <f>C52/4.5</f>
        <v>91.111111111111114</v>
      </c>
      <c r="D53" s="89">
        <f>9.6*(1+C6)</f>
        <v>11.327999999999999</v>
      </c>
      <c r="E53" s="43">
        <f t="shared" si="3"/>
        <v>1032.1066666666666</v>
      </c>
      <c r="F53" s="132">
        <f>E53/E71</f>
        <v>0.1461486701664565</v>
      </c>
      <c r="G53" s="1"/>
      <c r="H53" s="857"/>
      <c r="I53" s="143"/>
      <c r="J53" s="62"/>
      <c r="K53" s="43"/>
      <c r="L53" s="132"/>
      <c r="M53" s="1"/>
      <c r="N53" s="851"/>
    </row>
    <row r="54" spans="1:41" ht="15" customHeight="1" x14ac:dyDescent="0.25">
      <c r="B54" s="1" t="s">
        <v>418</v>
      </c>
      <c r="C54" s="24">
        <v>8</v>
      </c>
      <c r="D54" s="89">
        <f>15.5*(1+C6)</f>
        <v>18.29</v>
      </c>
      <c r="E54" s="43">
        <f t="shared" si="3"/>
        <v>146.32</v>
      </c>
      <c r="F54" s="132">
        <f>E54/E71</f>
        <v>2.0719247447378741E-2</v>
      </c>
      <c r="G54" s="1"/>
      <c r="H54" s="857"/>
      <c r="I54" s="863"/>
      <c r="J54" s="62"/>
      <c r="K54" s="62"/>
      <c r="L54" s="132"/>
      <c r="M54" s="1"/>
      <c r="N54" s="851"/>
    </row>
    <row r="55" spans="1:41" ht="15" customHeight="1" x14ac:dyDescent="0.2">
      <c r="B55" s="1" t="s">
        <v>418</v>
      </c>
      <c r="C55" s="24">
        <v>6</v>
      </c>
      <c r="D55" s="89">
        <f>19.8*(1+C6)</f>
        <v>23.364000000000001</v>
      </c>
      <c r="E55" s="43">
        <f t="shared" si="3"/>
        <v>140.184</v>
      </c>
      <c r="F55" s="132">
        <f>E55/E71</f>
        <v>1.9850375780230602E-2</v>
      </c>
      <c r="G55" s="1"/>
      <c r="H55" s="857"/>
      <c r="I55" s="143"/>
      <c r="J55" s="62"/>
      <c r="K55" s="43"/>
      <c r="L55" s="132"/>
      <c r="M55" s="1"/>
      <c r="N55" s="851"/>
    </row>
    <row r="56" spans="1:41" ht="15" customHeight="1" x14ac:dyDescent="0.2">
      <c r="B56" s="1" t="s">
        <v>15</v>
      </c>
      <c r="C56" s="24">
        <v>2</v>
      </c>
      <c r="D56" s="89">
        <f>200*(1+C6)</f>
        <v>236</v>
      </c>
      <c r="E56" s="43">
        <f t="shared" si="3"/>
        <v>472</v>
      </c>
      <c r="F56" s="132">
        <f>E56/E71</f>
        <v>6.683628208831853E-2</v>
      </c>
      <c r="G56" s="1"/>
      <c r="H56" s="857"/>
      <c r="I56" s="143"/>
      <c r="J56" s="62"/>
      <c r="K56" s="43"/>
      <c r="L56" s="132"/>
      <c r="M56" s="1"/>
      <c r="N56" s="851"/>
    </row>
    <row r="57" spans="1:41" ht="15" customHeight="1" x14ac:dyDescent="0.2">
      <c r="B57" s="1" t="s">
        <v>419</v>
      </c>
      <c r="C57" s="143">
        <f>C52/18</f>
        <v>22.777777777777779</v>
      </c>
      <c r="D57" s="89">
        <f>4.1*(1+C6)</f>
        <v>4.8379999999999992</v>
      </c>
      <c r="E57" s="43">
        <f t="shared" si="3"/>
        <v>110.19888888888887</v>
      </c>
      <c r="F57" s="132">
        <f>E57/E71</f>
        <v>1.5604415304231031E-2</v>
      </c>
      <c r="G57" s="1"/>
      <c r="H57" s="857"/>
      <c r="I57" s="143"/>
      <c r="J57" s="62"/>
      <c r="K57" s="43"/>
      <c r="L57" s="132"/>
      <c r="M57" s="1"/>
      <c r="N57" s="851"/>
    </row>
    <row r="58" spans="1:41" ht="15" customHeight="1" x14ac:dyDescent="0.2">
      <c r="B58" s="1" t="s">
        <v>95</v>
      </c>
      <c r="C58" s="144">
        <v>3</v>
      </c>
      <c r="D58" s="89">
        <f>11.95*(1+C6)</f>
        <v>14.100999999999999</v>
      </c>
      <c r="E58" s="118">
        <f t="shared" si="3"/>
        <v>42.302999999999997</v>
      </c>
      <c r="F58" s="132">
        <f>E58/E71</f>
        <v>5.9902017821655473E-3</v>
      </c>
      <c r="G58" s="1"/>
      <c r="H58" s="857"/>
      <c r="I58" s="143"/>
      <c r="J58" s="62"/>
      <c r="K58" s="43"/>
      <c r="L58" s="230"/>
      <c r="M58" s="1"/>
      <c r="N58" s="851"/>
    </row>
    <row r="59" spans="1:41" ht="15" customHeight="1" x14ac:dyDescent="0.2">
      <c r="B59" s="1"/>
      <c r="C59" s="143"/>
      <c r="D59" s="62"/>
      <c r="E59" s="198">
        <f>SUM(E52:E58)</f>
        <v>5281.3325555555548</v>
      </c>
      <c r="F59" s="132">
        <f>E59/E71</f>
        <v>0.74784879763841361</v>
      </c>
      <c r="G59" s="1"/>
      <c r="H59" s="857"/>
      <c r="I59" s="848"/>
      <c r="J59" s="62"/>
      <c r="K59" s="60"/>
      <c r="L59" s="230"/>
      <c r="M59" s="1"/>
      <c r="N59" s="851"/>
    </row>
    <row r="60" spans="1:41" ht="15" customHeight="1" x14ac:dyDescent="0.2">
      <c r="B60" s="1" t="s">
        <v>16</v>
      </c>
      <c r="C60" s="143"/>
      <c r="D60" s="107"/>
      <c r="E60" s="849">
        <v>-1194</v>
      </c>
      <c r="F60" s="132">
        <f>E60/$E$71</f>
        <v>-0.16907313731663626</v>
      </c>
      <c r="G60" s="1"/>
      <c r="H60" s="857"/>
      <c r="I60" s="557"/>
      <c r="J60" s="62"/>
      <c r="K60" s="60"/>
      <c r="L60" s="132"/>
      <c r="M60" s="1"/>
      <c r="N60" s="851"/>
    </row>
    <row r="61" spans="1:41" ht="15" customHeight="1" x14ac:dyDescent="0.2">
      <c r="B61" s="1"/>
      <c r="C61" s="143"/>
      <c r="D61" s="90"/>
      <c r="E61" s="121">
        <f>SUM(E59:E60)</f>
        <v>4087.3325555555548</v>
      </c>
      <c r="F61" s="132">
        <f>E61/$E$71</f>
        <v>0.5787756603217773</v>
      </c>
      <c r="G61" s="1"/>
      <c r="H61" s="857"/>
      <c r="I61" s="143"/>
      <c r="J61" s="62"/>
      <c r="K61" s="121"/>
      <c r="L61" s="230"/>
      <c r="M61" s="1"/>
      <c r="N61" s="23"/>
    </row>
    <row r="62" spans="1:41" s="1" customFormat="1" ht="15" customHeight="1" x14ac:dyDescent="0.2">
      <c r="B62" s="1" t="s">
        <v>98</v>
      </c>
      <c r="C62" s="143"/>
      <c r="D62" s="107"/>
      <c r="E62" s="146">
        <v>300</v>
      </c>
      <c r="F62" s="132">
        <f>E62/$E$71</f>
        <v>4.2480687767999063E-2</v>
      </c>
      <c r="H62" s="857"/>
      <c r="I62" s="143"/>
      <c r="J62" s="90"/>
      <c r="K62" s="56"/>
      <c r="L62" s="132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</row>
    <row r="63" spans="1:41" ht="15" customHeight="1" x14ac:dyDescent="0.25">
      <c r="A63" s="443" t="s">
        <v>19</v>
      </c>
      <c r="B63" s="437"/>
      <c r="C63" s="584"/>
      <c r="D63" s="559"/>
      <c r="E63" s="585">
        <f>E61+E62</f>
        <v>4387.3325555555548</v>
      </c>
      <c r="F63" s="586">
        <f>E63/E71</f>
        <v>0.62125634808977637</v>
      </c>
      <c r="G63" s="437"/>
      <c r="H63" s="1"/>
      <c r="I63" s="143"/>
      <c r="J63" s="107"/>
      <c r="K63" s="121"/>
      <c r="L63" s="695"/>
      <c r="M63" s="1"/>
      <c r="N63" s="23"/>
    </row>
    <row r="64" spans="1:41" ht="19.5" customHeight="1" x14ac:dyDescent="0.2">
      <c r="A64" s="3" t="s">
        <v>23</v>
      </c>
      <c r="C64" s="174" t="s">
        <v>78</v>
      </c>
      <c r="D64" s="886" t="s">
        <v>21</v>
      </c>
      <c r="E64" s="887" t="s">
        <v>13</v>
      </c>
      <c r="F64" s="884"/>
      <c r="G64" s="171"/>
      <c r="H64" s="1"/>
      <c r="I64" s="143"/>
      <c r="J64" s="107"/>
      <c r="K64" s="121"/>
      <c r="L64" s="695"/>
      <c r="M64" s="1"/>
      <c r="N64" s="23"/>
    </row>
    <row r="65" spans="1:41" ht="16.5" customHeight="1" x14ac:dyDescent="0.25">
      <c r="A65" s="17"/>
      <c r="B65" s="1" t="s">
        <v>92</v>
      </c>
      <c r="C65" s="51">
        <f>'Standard Vorgaben'!C165*C69</f>
        <v>7</v>
      </c>
      <c r="D65" s="145">
        <f>D30</f>
        <v>14.1</v>
      </c>
      <c r="E65" s="60">
        <f>C65*D65</f>
        <v>98.7</v>
      </c>
      <c r="F65" s="132">
        <f>E65/E71</f>
        <v>1.3976146275671692E-2</v>
      </c>
      <c r="G65" s="575"/>
      <c r="H65" s="857"/>
      <c r="I65" s="852"/>
      <c r="J65" s="105"/>
      <c r="K65" s="853"/>
      <c r="L65" s="854"/>
      <c r="M65" s="104"/>
      <c r="N65" s="23"/>
    </row>
    <row r="66" spans="1:41" ht="16.5" customHeight="1" x14ac:dyDescent="0.2">
      <c r="A66" s="17"/>
      <c r="B66" s="1" t="s">
        <v>422</v>
      </c>
      <c r="C66" s="47">
        <f>C65</f>
        <v>7</v>
      </c>
      <c r="D66" s="142">
        <f>D32</f>
        <v>41</v>
      </c>
      <c r="E66" s="118">
        <f>C66*D66</f>
        <v>287</v>
      </c>
      <c r="F66" s="132">
        <f>E66/E71</f>
        <v>4.0639857964719105E-2</v>
      </c>
      <c r="G66" s="5"/>
      <c r="H66" s="857"/>
      <c r="I66" s="429"/>
      <c r="J66" s="23"/>
      <c r="K66" s="23"/>
      <c r="L66" s="23"/>
      <c r="M66" s="23"/>
      <c r="N66" s="23"/>
    </row>
    <row r="67" spans="1:41" ht="16.5" customHeight="1" x14ac:dyDescent="0.2">
      <c r="A67" s="17"/>
      <c r="B67" s="1"/>
      <c r="C67" s="51"/>
      <c r="D67" s="142"/>
      <c r="E67" s="121">
        <f>SUM(E65:E66)</f>
        <v>385.7</v>
      </c>
      <c r="F67" s="132">
        <f>E67/E71</f>
        <v>5.4616004240390793E-2</v>
      </c>
      <c r="G67" s="5"/>
      <c r="H67" s="426"/>
      <c r="I67" s="426"/>
    </row>
    <row r="68" spans="1:41" ht="16.5" customHeight="1" x14ac:dyDescent="0.2">
      <c r="A68" s="3" t="s">
        <v>28</v>
      </c>
      <c r="C68" s="123" t="s">
        <v>27</v>
      </c>
      <c r="D68" s="128" t="s">
        <v>21</v>
      </c>
      <c r="E68" s="124" t="s">
        <v>22</v>
      </c>
      <c r="F68" s="884"/>
      <c r="G68" s="885"/>
      <c r="H68" s="426"/>
      <c r="I68" s="426"/>
    </row>
    <row r="69" spans="1:41" ht="16.5" customHeight="1" x14ac:dyDescent="0.2">
      <c r="B69" s="1" t="s">
        <v>33</v>
      </c>
      <c r="C69" s="233">
        <v>70</v>
      </c>
      <c r="D69" s="62">
        <f>'Standard Vorgaben'!$C$38</f>
        <v>32.700000000000003</v>
      </c>
      <c r="E69" s="200">
        <f>C69*D69</f>
        <v>2289</v>
      </c>
      <c r="F69" s="132">
        <f>E69/E71</f>
        <v>0.32412764766983282</v>
      </c>
      <c r="G69" s="5"/>
      <c r="H69" s="857"/>
      <c r="I69" s="426"/>
    </row>
    <row r="70" spans="1:41" s="20" customFormat="1" ht="15.75" x14ac:dyDescent="0.25">
      <c r="A70" s="443" t="s">
        <v>35</v>
      </c>
      <c r="B70" s="564"/>
      <c r="C70" s="565"/>
      <c r="D70" s="566"/>
      <c r="E70" s="567">
        <f>E67+E69</f>
        <v>2674.7</v>
      </c>
      <c r="F70" s="586">
        <f>E70/E71</f>
        <v>0.37874365191022358</v>
      </c>
      <c r="G70" s="812"/>
      <c r="H70" s="427"/>
      <c r="I70" s="427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  <c r="AM70" s="100"/>
      <c r="AN70" s="100"/>
      <c r="AO70" s="100"/>
    </row>
    <row r="71" spans="1:41" s="28" customFormat="1" ht="18" customHeight="1" x14ac:dyDescent="0.25">
      <c r="A71" s="569" t="s">
        <v>96</v>
      </c>
      <c r="B71" s="587"/>
      <c r="C71" s="588"/>
      <c r="D71" s="589"/>
      <c r="E71" s="573">
        <f>E63+E70</f>
        <v>7062.0325555555546</v>
      </c>
      <c r="F71" s="586">
        <f>E71/E71</f>
        <v>1</v>
      </c>
      <c r="G71" s="813"/>
      <c r="H71" s="428"/>
      <c r="I71" s="428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L71" s="80"/>
      <c r="AM71" s="80"/>
      <c r="AN71" s="80"/>
      <c r="AO71" s="80"/>
    </row>
    <row r="72" spans="1:41" s="149" customFormat="1" ht="5.25" customHeight="1" x14ac:dyDescent="0.25">
      <c r="A72" s="581"/>
      <c r="B72" s="587"/>
      <c r="C72" s="588"/>
      <c r="D72" s="589"/>
      <c r="E72" s="590"/>
      <c r="F72" s="586"/>
      <c r="G72" s="813"/>
      <c r="H72" s="430"/>
      <c r="I72" s="430"/>
      <c r="J72" s="148"/>
      <c r="K72" s="148"/>
      <c r="L72" s="148"/>
      <c r="M72" s="148"/>
      <c r="N72" s="148"/>
      <c r="O72" s="148"/>
      <c r="P72" s="148"/>
      <c r="Q72" s="148"/>
      <c r="R72" s="148"/>
      <c r="S72" s="148"/>
      <c r="T72" s="148"/>
      <c r="U72" s="148"/>
      <c r="V72" s="148"/>
      <c r="W72" s="148"/>
      <c r="X72" s="148"/>
      <c r="Y72" s="148"/>
      <c r="Z72" s="148"/>
      <c r="AA72" s="148"/>
      <c r="AB72" s="148"/>
      <c r="AC72" s="148"/>
      <c r="AD72" s="148"/>
      <c r="AE72" s="148"/>
      <c r="AF72" s="148"/>
      <c r="AG72" s="148"/>
      <c r="AH72" s="148"/>
      <c r="AI72" s="148"/>
      <c r="AJ72" s="148"/>
      <c r="AK72" s="148"/>
      <c r="AL72" s="148"/>
      <c r="AM72" s="148"/>
      <c r="AN72" s="148"/>
      <c r="AO72" s="148"/>
    </row>
    <row r="73" spans="1:41" s="149" customFormat="1" ht="18" customHeight="1" x14ac:dyDescent="0.25">
      <c r="A73" s="581" t="s">
        <v>97</v>
      </c>
      <c r="B73" s="587"/>
      <c r="C73" s="588"/>
      <c r="D73" s="589"/>
      <c r="E73" s="1215">
        <f>E71+E48</f>
        <v>46235.362555555555</v>
      </c>
      <c r="F73" s="591"/>
      <c r="G73" s="813"/>
      <c r="H73" s="430"/>
      <c r="I73" s="430"/>
      <c r="J73" s="148"/>
      <c r="K73" s="148"/>
      <c r="L73" s="148"/>
      <c r="M73" s="148"/>
      <c r="N73" s="148"/>
      <c r="O73" s="148"/>
      <c r="P73" s="148"/>
      <c r="Q73" s="148"/>
      <c r="R73" s="148"/>
      <c r="S73" s="148"/>
      <c r="T73" s="148"/>
      <c r="U73" s="148"/>
      <c r="V73" s="148"/>
      <c r="W73" s="148"/>
      <c r="X73" s="148"/>
      <c r="Y73" s="148"/>
      <c r="Z73" s="148"/>
      <c r="AA73" s="148"/>
      <c r="AB73" s="148"/>
      <c r="AC73" s="148"/>
      <c r="AD73" s="148"/>
      <c r="AE73" s="148"/>
      <c r="AF73" s="148"/>
      <c r="AG73" s="148"/>
      <c r="AH73" s="148"/>
      <c r="AI73" s="148"/>
      <c r="AJ73" s="148"/>
      <c r="AK73" s="148"/>
      <c r="AL73" s="148"/>
      <c r="AM73" s="148"/>
      <c r="AN73" s="148"/>
      <c r="AO73" s="148"/>
    </row>
    <row r="74" spans="1:41" s="149" customFormat="1" ht="35.25" customHeight="1" x14ac:dyDescent="0.3">
      <c r="A74" s="582" t="s">
        <v>593</v>
      </c>
      <c r="B74" s="1211"/>
      <c r="C74" s="1212"/>
      <c r="D74" s="1213"/>
      <c r="E74" s="1214">
        <f>E73+E138+'Standard Erstellung'!E149+F155</f>
        <v>84975.307555555541</v>
      </c>
      <c r="F74" s="591"/>
      <c r="G74" s="813"/>
      <c r="H74" s="430"/>
      <c r="I74" s="430"/>
      <c r="J74" s="148"/>
      <c r="K74" s="148"/>
      <c r="L74" s="148"/>
      <c r="M74" s="148"/>
      <c r="N74" s="148"/>
      <c r="O74" s="148"/>
      <c r="P74" s="148"/>
      <c r="Q74" s="148"/>
      <c r="R74" s="148"/>
      <c r="S74" s="148"/>
      <c r="T74" s="148"/>
      <c r="U74" s="148"/>
      <c r="V74" s="148"/>
      <c r="W74" s="148"/>
      <c r="X74" s="148"/>
      <c r="Y74" s="148"/>
      <c r="Z74" s="148"/>
      <c r="AA74" s="148"/>
      <c r="AB74" s="148"/>
      <c r="AC74" s="148"/>
      <c r="AD74" s="148"/>
      <c r="AE74" s="148"/>
      <c r="AF74" s="148"/>
      <c r="AG74" s="148"/>
      <c r="AH74" s="148"/>
      <c r="AI74" s="148"/>
      <c r="AJ74" s="148"/>
      <c r="AK74" s="148"/>
      <c r="AL74" s="148"/>
      <c r="AM74" s="148"/>
      <c r="AN74" s="148"/>
      <c r="AO74" s="148"/>
    </row>
    <row r="75" spans="1:41" s="149" customFormat="1" ht="18" customHeight="1" x14ac:dyDescent="0.25">
      <c r="A75" s="147"/>
      <c r="B75" s="1016"/>
      <c r="C75" s="1017"/>
      <c r="D75" s="1018"/>
      <c r="E75" s="1019"/>
      <c r="F75" s="854"/>
      <c r="G75" s="27"/>
      <c r="H75" s="430"/>
      <c r="I75" s="430"/>
      <c r="J75" s="148"/>
      <c r="K75" s="148"/>
      <c r="L75" s="148"/>
      <c r="M75" s="148"/>
      <c r="N75" s="148"/>
      <c r="O75" s="148"/>
      <c r="P75" s="148"/>
      <c r="Q75" s="148"/>
      <c r="R75" s="148"/>
      <c r="S75" s="148"/>
      <c r="T75" s="148"/>
      <c r="U75" s="148"/>
      <c r="V75" s="148"/>
      <c r="W75" s="148"/>
      <c r="X75" s="148"/>
      <c r="Y75" s="148"/>
      <c r="Z75" s="148"/>
      <c r="AA75" s="148"/>
      <c r="AB75" s="148"/>
      <c r="AC75" s="148"/>
      <c r="AD75" s="148"/>
      <c r="AE75" s="148"/>
      <c r="AF75" s="148"/>
      <c r="AG75" s="148"/>
      <c r="AH75" s="148"/>
      <c r="AI75" s="148"/>
      <c r="AJ75" s="148"/>
      <c r="AK75" s="148"/>
      <c r="AL75" s="148"/>
      <c r="AM75" s="148"/>
      <c r="AN75" s="148"/>
      <c r="AO75" s="148"/>
    </row>
    <row r="76" spans="1:41" x14ac:dyDescent="0.2">
      <c r="A76" s="1"/>
      <c r="B76" s="1"/>
      <c r="C76" s="1"/>
      <c r="D76" s="1"/>
      <c r="E76" s="1"/>
      <c r="F76" s="1"/>
      <c r="G76" s="1"/>
      <c r="H76" s="23"/>
    </row>
    <row r="77" spans="1:41" ht="26.25" x14ac:dyDescent="0.4">
      <c r="A77" s="1011" t="s">
        <v>467</v>
      </c>
      <c r="B77" s="1011"/>
      <c r="C77" s="1011"/>
      <c r="D77" s="1011"/>
      <c r="E77" s="1011"/>
      <c r="F77" s="1011"/>
      <c r="G77" s="1034" t="s">
        <v>483</v>
      </c>
      <c r="H77" s="1012"/>
    </row>
    <row r="78" spans="1:41" ht="26.25" x14ac:dyDescent="0.4">
      <c r="A78" s="983" t="s">
        <v>321</v>
      </c>
      <c r="B78" s="984"/>
      <c r="C78" s="985" t="s">
        <v>11</v>
      </c>
      <c r="D78" s="985" t="s">
        <v>12</v>
      </c>
      <c r="E78" s="986" t="s">
        <v>86</v>
      </c>
      <c r="F78" s="139"/>
      <c r="G78" s="171"/>
      <c r="H78"/>
    </row>
    <row r="79" spans="1:41" ht="26.25" x14ac:dyDescent="0.4">
      <c r="A79" s="984"/>
      <c r="B79" s="23"/>
      <c r="C79" s="987"/>
      <c r="D79" s="987"/>
      <c r="E79" s="988"/>
      <c r="F79" s="58"/>
      <c r="H79"/>
    </row>
    <row r="80" spans="1:41" x14ac:dyDescent="0.2">
      <c r="A80" s="17"/>
      <c r="B80" s="17"/>
      <c r="C80" s="145"/>
      <c r="D80" s="58"/>
      <c r="E80" s="58"/>
      <c r="F80" s="46"/>
      <c r="H80"/>
    </row>
    <row r="81" spans="1:8" x14ac:dyDescent="0.2">
      <c r="A81" s="52" t="s">
        <v>157</v>
      </c>
      <c r="B81" s="23" t="s">
        <v>428</v>
      </c>
      <c r="C81" s="989">
        <v>2000</v>
      </c>
      <c r="D81" s="63">
        <v>1.35</v>
      </c>
      <c r="E81" s="58">
        <f>C81*D81</f>
        <v>2700</v>
      </c>
      <c r="F81" s="880"/>
      <c r="H81"/>
    </row>
    <row r="82" spans="1:8" x14ac:dyDescent="0.2">
      <c r="A82" s="52"/>
      <c r="B82" s="23" t="s">
        <v>187</v>
      </c>
      <c r="C82" s="990">
        <v>2530</v>
      </c>
      <c r="D82" s="63">
        <v>0.16</v>
      </c>
      <c r="E82" s="58">
        <f>C82*D82</f>
        <v>404.8</v>
      </c>
      <c r="F82" s="880"/>
      <c r="H82"/>
    </row>
    <row r="83" spans="1:8" x14ac:dyDescent="0.2">
      <c r="A83" s="52"/>
      <c r="B83" s="23" t="s">
        <v>188</v>
      </c>
      <c r="C83" s="991">
        <v>6</v>
      </c>
      <c r="D83" s="63">
        <v>5.5</v>
      </c>
      <c r="E83" s="58">
        <f>C83*D83</f>
        <v>33</v>
      </c>
      <c r="F83" s="880"/>
      <c r="H83"/>
    </row>
    <row r="84" spans="1:8" x14ac:dyDescent="0.2">
      <c r="A84" s="52"/>
      <c r="B84" s="23" t="s">
        <v>189</v>
      </c>
      <c r="C84" s="989">
        <v>2000</v>
      </c>
      <c r="D84" s="63">
        <v>0.2</v>
      </c>
      <c r="E84" s="58">
        <f>C84*D84</f>
        <v>400</v>
      </c>
      <c r="F84" s="880"/>
      <c r="H84"/>
    </row>
    <row r="85" spans="1:8" x14ac:dyDescent="0.2">
      <c r="A85" s="52"/>
      <c r="B85" s="23"/>
      <c r="C85" s="192"/>
      <c r="D85" s="59"/>
      <c r="E85" s="58"/>
      <c r="F85" s="880"/>
      <c r="H85"/>
    </row>
    <row r="86" spans="1:8" x14ac:dyDescent="0.2">
      <c r="A86" s="125" t="s">
        <v>429</v>
      </c>
      <c r="B86" s="101" t="s">
        <v>430</v>
      </c>
      <c r="C86" s="992">
        <v>9800</v>
      </c>
      <c r="D86" s="993">
        <v>0.57999999999999996</v>
      </c>
      <c r="E86" s="867">
        <f>C86*D86</f>
        <v>5684</v>
      </c>
      <c r="F86" s="880"/>
      <c r="H86"/>
    </row>
    <row r="87" spans="1:8" x14ac:dyDescent="0.2">
      <c r="A87" s="125"/>
      <c r="B87" s="101" t="s">
        <v>431</v>
      </c>
      <c r="C87" s="992">
        <v>1200</v>
      </c>
      <c r="D87" s="993">
        <v>0.28000000000000003</v>
      </c>
      <c r="E87" s="867">
        <f t="shared" ref="E87:E102" si="4">C87*D87</f>
        <v>336.00000000000006</v>
      </c>
      <c r="F87" s="880"/>
      <c r="H87"/>
    </row>
    <row r="88" spans="1:8" x14ac:dyDescent="0.2">
      <c r="A88" s="125"/>
      <c r="B88" s="101" t="s">
        <v>432</v>
      </c>
      <c r="C88" s="992">
        <v>1750</v>
      </c>
      <c r="D88" s="993">
        <v>0.83</v>
      </c>
      <c r="E88" s="867">
        <f t="shared" si="4"/>
        <v>1452.5</v>
      </c>
      <c r="F88" s="880"/>
      <c r="H88"/>
    </row>
    <row r="89" spans="1:8" x14ac:dyDescent="0.2">
      <c r="A89" s="125"/>
      <c r="B89" s="101" t="s">
        <v>433</v>
      </c>
      <c r="C89" s="992">
        <v>100</v>
      </c>
      <c r="D89" s="993">
        <v>0.55000000000000004</v>
      </c>
      <c r="E89" s="867">
        <f t="shared" si="4"/>
        <v>55.000000000000007</v>
      </c>
      <c r="F89" s="880"/>
      <c r="H89"/>
    </row>
    <row r="90" spans="1:8" x14ac:dyDescent="0.2">
      <c r="A90" s="125"/>
      <c r="B90" s="101" t="s">
        <v>434</v>
      </c>
      <c r="C90" s="992">
        <v>165</v>
      </c>
      <c r="D90" s="993">
        <v>1.19</v>
      </c>
      <c r="E90" s="867">
        <f t="shared" si="4"/>
        <v>196.35</v>
      </c>
      <c r="F90" s="880"/>
      <c r="H90"/>
    </row>
    <row r="91" spans="1:8" x14ac:dyDescent="0.2">
      <c r="A91" s="125"/>
      <c r="B91" s="101" t="s">
        <v>435</v>
      </c>
      <c r="C91" s="992">
        <v>310</v>
      </c>
      <c r="D91" s="993">
        <v>1.19</v>
      </c>
      <c r="E91" s="867">
        <f t="shared" si="4"/>
        <v>368.9</v>
      </c>
      <c r="F91" s="880"/>
      <c r="H91"/>
    </row>
    <row r="92" spans="1:8" x14ac:dyDescent="0.2">
      <c r="A92" s="125"/>
      <c r="B92" s="101" t="s">
        <v>436</v>
      </c>
      <c r="C92" s="992">
        <v>810</v>
      </c>
      <c r="D92" s="993">
        <v>0.7</v>
      </c>
      <c r="E92" s="867">
        <f t="shared" si="4"/>
        <v>567</v>
      </c>
      <c r="F92" s="880"/>
      <c r="H92"/>
    </row>
    <row r="93" spans="1:8" x14ac:dyDescent="0.2">
      <c r="A93" s="125"/>
      <c r="B93" s="101" t="s">
        <v>437</v>
      </c>
      <c r="C93" s="992">
        <v>3100</v>
      </c>
      <c r="D93" s="993">
        <v>0.3</v>
      </c>
      <c r="E93" s="867">
        <f t="shared" si="4"/>
        <v>930</v>
      </c>
      <c r="F93" s="880"/>
      <c r="H93"/>
    </row>
    <row r="94" spans="1:8" x14ac:dyDescent="0.2">
      <c r="A94" s="125"/>
      <c r="B94" s="101" t="s">
        <v>438</v>
      </c>
      <c r="C94" s="992">
        <v>3400</v>
      </c>
      <c r="D94" s="993">
        <v>0.1</v>
      </c>
      <c r="E94" s="867">
        <f t="shared" si="4"/>
        <v>340</v>
      </c>
      <c r="F94" s="880"/>
      <c r="H94"/>
    </row>
    <row r="95" spans="1:8" x14ac:dyDescent="0.2">
      <c r="A95" s="125"/>
      <c r="B95" s="101" t="s">
        <v>439</v>
      </c>
      <c r="C95" s="992">
        <v>26</v>
      </c>
      <c r="D95" s="993">
        <v>9.15</v>
      </c>
      <c r="E95" s="867">
        <f t="shared" si="4"/>
        <v>237.9</v>
      </c>
      <c r="F95" s="880"/>
      <c r="H95"/>
    </row>
    <row r="96" spans="1:8" x14ac:dyDescent="0.2">
      <c r="A96" s="125"/>
      <c r="B96" s="101" t="s">
        <v>440</v>
      </c>
      <c r="C96" s="994"/>
      <c r="D96" s="995"/>
      <c r="E96" s="996">
        <v>500</v>
      </c>
      <c r="F96" s="880"/>
      <c r="H96"/>
    </row>
    <row r="97" spans="1:8" x14ac:dyDescent="0.2">
      <c r="A97" s="125"/>
      <c r="B97" s="101"/>
      <c r="C97" s="994"/>
      <c r="D97" s="997"/>
      <c r="E97" s="867"/>
      <c r="F97" s="880"/>
      <c r="H97"/>
    </row>
    <row r="98" spans="1:8" x14ac:dyDescent="0.2">
      <c r="A98" s="125" t="s">
        <v>441</v>
      </c>
      <c r="B98" s="101" t="s">
        <v>442</v>
      </c>
      <c r="C98" s="992">
        <v>240</v>
      </c>
      <c r="D98" s="993">
        <v>18.5</v>
      </c>
      <c r="E98" s="867">
        <f t="shared" si="4"/>
        <v>4440</v>
      </c>
      <c r="F98" s="880"/>
      <c r="H98"/>
    </row>
    <row r="99" spans="1:8" x14ac:dyDescent="0.2">
      <c r="A99" s="125"/>
      <c r="B99" s="101" t="s">
        <v>443</v>
      </c>
      <c r="C99" s="992">
        <v>44</v>
      </c>
      <c r="D99" s="993">
        <v>27</v>
      </c>
      <c r="E99" s="867">
        <f t="shared" si="4"/>
        <v>1188</v>
      </c>
      <c r="F99" s="880"/>
      <c r="H99"/>
    </row>
    <row r="100" spans="1:8" x14ac:dyDescent="0.2">
      <c r="A100" s="125"/>
      <c r="B100" s="101" t="s">
        <v>444</v>
      </c>
      <c r="C100" s="992">
        <v>4</v>
      </c>
      <c r="D100" s="993">
        <v>58.95</v>
      </c>
      <c r="E100" s="867">
        <f t="shared" si="4"/>
        <v>235.8</v>
      </c>
      <c r="F100" s="880"/>
      <c r="H100"/>
    </row>
    <row r="101" spans="1:8" x14ac:dyDescent="0.2">
      <c r="A101" s="125"/>
      <c r="B101" s="101" t="s">
        <v>445</v>
      </c>
      <c r="C101" s="992">
        <v>72</v>
      </c>
      <c r="D101" s="993">
        <v>20.149999999999999</v>
      </c>
      <c r="E101" s="867">
        <f t="shared" si="4"/>
        <v>1450.8</v>
      </c>
      <c r="F101" s="880"/>
      <c r="H101"/>
    </row>
    <row r="102" spans="1:8" ht="13.5" thickBot="1" x14ac:dyDescent="0.25">
      <c r="A102" s="125"/>
      <c r="B102" s="101" t="s">
        <v>446</v>
      </c>
      <c r="C102" s="992">
        <v>68</v>
      </c>
      <c r="D102" s="993">
        <v>1</v>
      </c>
      <c r="E102" s="998">
        <f t="shared" si="4"/>
        <v>68</v>
      </c>
      <c r="F102" s="880"/>
      <c r="H102"/>
    </row>
    <row r="103" spans="1:8" x14ac:dyDescent="0.2">
      <c r="A103" s="52"/>
      <c r="B103" s="17"/>
      <c r="C103" s="429"/>
      <c r="D103" s="59"/>
      <c r="E103" s="922">
        <f>SUM(E86:E102)</f>
        <v>18050.25</v>
      </c>
      <c r="F103" s="880"/>
      <c r="H103"/>
    </row>
    <row r="104" spans="1:8" x14ac:dyDescent="0.2">
      <c r="A104" s="52"/>
      <c r="B104" s="17"/>
      <c r="C104" s="429"/>
      <c r="D104" s="59"/>
      <c r="E104" s="58"/>
      <c r="F104" s="880"/>
      <c r="H104"/>
    </row>
    <row r="105" spans="1:8" x14ac:dyDescent="0.2">
      <c r="A105" s="52" t="s">
        <v>17</v>
      </c>
      <c r="B105" s="23" t="s">
        <v>34</v>
      </c>
      <c r="C105" s="991">
        <v>40</v>
      </c>
      <c r="D105" s="63">
        <v>7.2</v>
      </c>
      <c r="E105" s="58"/>
      <c r="F105" s="880"/>
      <c r="H105"/>
    </row>
    <row r="106" spans="1:8" x14ac:dyDescent="0.2">
      <c r="A106" s="52"/>
      <c r="B106" s="23" t="s">
        <v>18</v>
      </c>
      <c r="C106" s="429"/>
      <c r="D106" s="58"/>
      <c r="E106" s="63">
        <v>125</v>
      </c>
      <c r="F106" s="880"/>
      <c r="H106"/>
    </row>
    <row r="107" spans="1:8" x14ac:dyDescent="0.2">
      <c r="A107" s="23"/>
      <c r="B107" s="23" t="s">
        <v>158</v>
      </c>
      <c r="C107" s="429"/>
      <c r="D107" s="58"/>
      <c r="E107" s="63">
        <v>500</v>
      </c>
      <c r="F107" s="880"/>
      <c r="H107"/>
    </row>
    <row r="108" spans="1:8" x14ac:dyDescent="0.2">
      <c r="A108" s="23"/>
      <c r="B108" s="23"/>
      <c r="C108" s="429"/>
      <c r="D108" s="58"/>
      <c r="E108" s="59"/>
      <c r="F108" s="880"/>
      <c r="H108"/>
    </row>
    <row r="109" spans="1:8" ht="25.5" x14ac:dyDescent="0.2">
      <c r="A109" s="864" t="s">
        <v>447</v>
      </c>
      <c r="B109" s="101" t="s">
        <v>448</v>
      </c>
      <c r="C109" s="992">
        <v>55</v>
      </c>
      <c r="D109" s="867">
        <f>'Standard Vorgaben'!D146</f>
        <v>41</v>
      </c>
      <c r="E109" s="867">
        <f>C109*D109</f>
        <v>2255</v>
      </c>
      <c r="F109" s="880"/>
      <c r="H109"/>
    </row>
    <row r="110" spans="1:8" x14ac:dyDescent="0.2">
      <c r="A110" s="125"/>
      <c r="B110" s="101" t="s">
        <v>449</v>
      </c>
      <c r="C110" s="992">
        <v>15</v>
      </c>
      <c r="D110" s="867">
        <f>'Standard Vorgaben'!D169</f>
        <v>150</v>
      </c>
      <c r="E110" s="867">
        <f>C110*D110</f>
        <v>2250</v>
      </c>
      <c r="F110" s="880"/>
      <c r="H110"/>
    </row>
    <row r="111" spans="1:8" x14ac:dyDescent="0.2">
      <c r="A111" s="125"/>
      <c r="B111" s="216" t="s">
        <v>450</v>
      </c>
      <c r="C111" s="992">
        <v>20</v>
      </c>
      <c r="D111" s="867">
        <f>'Standard Vorgaben'!D166</f>
        <v>23.5</v>
      </c>
      <c r="E111" s="867">
        <f>C111*D111</f>
        <v>470</v>
      </c>
      <c r="F111" s="880"/>
      <c r="H111"/>
    </row>
    <row r="112" spans="1:8" ht="13.5" thickBot="1" x14ac:dyDescent="0.25">
      <c r="A112" s="125"/>
      <c r="B112" s="101" t="s">
        <v>170</v>
      </c>
      <c r="C112" s="992">
        <v>20</v>
      </c>
      <c r="D112" s="867">
        <f>'Standard Vorgaben'!D156</f>
        <v>17.5</v>
      </c>
      <c r="E112" s="998">
        <f>C112*D112</f>
        <v>350</v>
      </c>
      <c r="F112" s="880"/>
      <c r="H112"/>
    </row>
    <row r="113" spans="1:8" x14ac:dyDescent="0.2">
      <c r="A113" s="23"/>
      <c r="B113" s="23"/>
      <c r="C113" s="429"/>
      <c r="D113" s="58"/>
      <c r="E113" s="922">
        <f>SUM(E109:E112)</f>
        <v>5325</v>
      </c>
      <c r="F113" s="880"/>
      <c r="H113"/>
    </row>
    <row r="114" spans="1:8" ht="23.25" x14ac:dyDescent="0.35">
      <c r="A114" s="800" t="s">
        <v>28</v>
      </c>
      <c r="B114" s="437"/>
      <c r="C114" s="441"/>
      <c r="D114" s="442"/>
      <c r="E114" s="442"/>
      <c r="F114" s="1014"/>
      <c r="G114" s="437"/>
      <c r="H114"/>
    </row>
    <row r="115" spans="1:8" x14ac:dyDescent="0.2">
      <c r="A115" s="23"/>
      <c r="B115" s="17"/>
      <c r="C115" s="999" t="s">
        <v>27</v>
      </c>
      <c r="D115" s="1000" t="s">
        <v>21</v>
      </c>
      <c r="E115" s="112" t="s">
        <v>86</v>
      </c>
      <c r="F115" s="1015"/>
      <c r="G115" s="171"/>
      <c r="H115"/>
    </row>
    <row r="116" spans="1:8" x14ac:dyDescent="0.2">
      <c r="A116" s="102" t="s">
        <v>451</v>
      </c>
      <c r="B116" s="216" t="s">
        <v>452</v>
      </c>
      <c r="C116" s="1001">
        <v>15</v>
      </c>
      <c r="D116" s="867">
        <f>$C$36</f>
        <v>3.8</v>
      </c>
      <c r="E116" s="867">
        <f>C116*D116</f>
        <v>57</v>
      </c>
      <c r="F116" s="880"/>
      <c r="H116"/>
    </row>
    <row r="117" spans="1:8" x14ac:dyDescent="0.2">
      <c r="A117" s="101"/>
      <c r="B117" s="216" t="s">
        <v>453</v>
      </c>
      <c r="C117" s="1001">
        <v>100</v>
      </c>
      <c r="D117" s="867">
        <f>$C$36</f>
        <v>3.8</v>
      </c>
      <c r="E117" s="867">
        <f>C117*D117</f>
        <v>380</v>
      </c>
      <c r="F117" s="880"/>
      <c r="H117"/>
    </row>
    <row r="118" spans="1:8" x14ac:dyDescent="0.2">
      <c r="A118" s="101"/>
      <c r="B118" s="216" t="s">
        <v>454</v>
      </c>
      <c r="C118" s="1001">
        <v>175</v>
      </c>
      <c r="D118" s="867">
        <f>$C$36</f>
        <v>3.8</v>
      </c>
      <c r="E118" s="867">
        <f>C118*D118</f>
        <v>665</v>
      </c>
      <c r="F118" s="880"/>
      <c r="H118"/>
    </row>
    <row r="119" spans="1:8" ht="13.5" thickBot="1" x14ac:dyDescent="0.25">
      <c r="A119" s="101"/>
      <c r="B119" s="216" t="s">
        <v>455</v>
      </c>
      <c r="C119" s="1002">
        <f>SUM(C116:C118) * 0.1</f>
        <v>29</v>
      </c>
      <c r="D119" s="867">
        <f>$C$36</f>
        <v>3.8</v>
      </c>
      <c r="E119" s="998">
        <f>C119*D119</f>
        <v>110.19999999999999</v>
      </c>
      <c r="F119" s="880"/>
      <c r="H119"/>
    </row>
    <row r="120" spans="1:8" x14ac:dyDescent="0.2">
      <c r="A120" s="17"/>
      <c r="B120" s="23"/>
      <c r="C120" s="51"/>
      <c r="D120" s="58"/>
      <c r="E120" s="922">
        <f>SUM(E116:E119)</f>
        <v>1212.2</v>
      </c>
      <c r="F120" s="880"/>
      <c r="H120"/>
    </row>
    <row r="121" spans="1:8" x14ac:dyDescent="0.2">
      <c r="A121" s="17"/>
      <c r="B121" s="17"/>
      <c r="C121" s="145"/>
      <c r="D121" s="58"/>
      <c r="E121" s="58"/>
      <c r="F121" s="880"/>
      <c r="H121"/>
    </row>
    <row r="122" spans="1:8" x14ac:dyDescent="0.2">
      <c r="A122" s="102" t="s">
        <v>456</v>
      </c>
      <c r="B122" s="17"/>
      <c r="C122" s="145"/>
      <c r="D122" s="58"/>
      <c r="E122" s="58"/>
      <c r="F122" s="880"/>
      <c r="H122"/>
    </row>
    <row r="123" spans="1:8" x14ac:dyDescent="0.2">
      <c r="A123" s="17"/>
      <c r="B123" s="17" t="s">
        <v>457</v>
      </c>
      <c r="C123" s="1003">
        <v>38</v>
      </c>
      <c r="D123" s="63">
        <v>14</v>
      </c>
      <c r="E123" s="867">
        <f>C123*D123</f>
        <v>532</v>
      </c>
      <c r="F123" s="880"/>
      <c r="H123"/>
    </row>
    <row r="124" spans="1:8" x14ac:dyDescent="0.2">
      <c r="A124" s="17"/>
      <c r="B124" s="17" t="s">
        <v>458</v>
      </c>
      <c r="C124" s="1003">
        <v>285</v>
      </c>
      <c r="D124" s="63">
        <v>10</v>
      </c>
      <c r="E124" s="867">
        <f>C124*D124</f>
        <v>2850</v>
      </c>
      <c r="F124" s="880"/>
      <c r="H124"/>
    </row>
    <row r="125" spans="1:8" ht="13.5" thickBot="1" x14ac:dyDescent="0.25">
      <c r="A125" s="17"/>
      <c r="B125" s="17" t="s">
        <v>186</v>
      </c>
      <c r="C125" s="1003">
        <v>38</v>
      </c>
      <c r="D125" s="63">
        <v>5.2</v>
      </c>
      <c r="E125" s="998">
        <f>C125*D125</f>
        <v>197.6</v>
      </c>
      <c r="F125" s="880"/>
      <c r="H125"/>
    </row>
    <row r="126" spans="1:8" x14ac:dyDescent="0.2">
      <c r="A126" s="17"/>
      <c r="B126" s="17"/>
      <c r="C126" s="61"/>
      <c r="D126" s="59"/>
      <c r="E126" s="922">
        <f>SUM(E123:E125)</f>
        <v>3579.6</v>
      </c>
      <c r="F126" s="880"/>
      <c r="H126"/>
    </row>
    <row r="127" spans="1:8" x14ac:dyDescent="0.2">
      <c r="A127" s="102" t="s">
        <v>459</v>
      </c>
      <c r="B127" s="23"/>
      <c r="C127" s="145"/>
      <c r="D127" s="58"/>
      <c r="E127" s="1004"/>
      <c r="F127" s="880"/>
      <c r="H127"/>
    </row>
    <row r="128" spans="1:8" x14ac:dyDescent="0.2">
      <c r="A128" s="17"/>
      <c r="B128" s="23" t="s">
        <v>452</v>
      </c>
      <c r="C128" s="1001">
        <v>7.5</v>
      </c>
      <c r="D128" s="867">
        <f>$C$36</f>
        <v>3.8</v>
      </c>
      <c r="E128" s="867">
        <f>C128*D128</f>
        <v>28.5</v>
      </c>
      <c r="F128" s="880"/>
      <c r="H128"/>
    </row>
    <row r="129" spans="1:8" x14ac:dyDescent="0.2">
      <c r="A129" s="17"/>
      <c r="B129" s="23" t="s">
        <v>460</v>
      </c>
      <c r="C129" s="1001">
        <v>35</v>
      </c>
      <c r="D129" s="867">
        <f>$C$36</f>
        <v>3.8</v>
      </c>
      <c r="E129" s="867">
        <f>C129*D129</f>
        <v>133</v>
      </c>
      <c r="F129" s="880"/>
      <c r="H129"/>
    </row>
    <row r="130" spans="1:8" x14ac:dyDescent="0.2">
      <c r="A130" s="17"/>
      <c r="B130" s="17" t="s">
        <v>461</v>
      </c>
      <c r="C130" s="1001">
        <v>10</v>
      </c>
      <c r="D130" s="867">
        <f>'Standard Vorgaben'!D146</f>
        <v>41</v>
      </c>
      <c r="E130" s="867">
        <f>C130*D130</f>
        <v>410</v>
      </c>
      <c r="F130" s="880"/>
      <c r="H130"/>
    </row>
    <row r="131" spans="1:8" ht="13.5" thickBot="1" x14ac:dyDescent="0.25">
      <c r="A131" s="17"/>
      <c r="B131" s="23" t="s">
        <v>191</v>
      </c>
      <c r="C131" s="1001">
        <v>10</v>
      </c>
      <c r="D131" s="867">
        <f>'Standard Vorgaben'!D165</f>
        <v>14.1</v>
      </c>
      <c r="E131" s="998">
        <f>C131*D131</f>
        <v>141</v>
      </c>
      <c r="F131" s="880"/>
      <c r="H131"/>
    </row>
    <row r="132" spans="1:8" x14ac:dyDescent="0.2">
      <c r="A132" s="17"/>
      <c r="B132" s="23"/>
      <c r="C132" s="1002"/>
      <c r="D132" s="867"/>
      <c r="E132" s="922">
        <f>SUM(E128:E131)</f>
        <v>712.5</v>
      </c>
      <c r="F132" s="880"/>
      <c r="H132"/>
    </row>
    <row r="133" spans="1:8" x14ac:dyDescent="0.2">
      <c r="A133" s="17"/>
      <c r="B133" s="23"/>
      <c r="C133" s="1002"/>
      <c r="D133" s="867"/>
      <c r="E133" s="922"/>
      <c r="F133" s="880"/>
      <c r="H133"/>
    </row>
    <row r="134" spans="1:8" ht="15.75" x14ac:dyDescent="0.25">
      <c r="A134" s="251"/>
      <c r="B134" s="216" t="s">
        <v>462</v>
      </c>
      <c r="C134" s="1005"/>
      <c r="D134" s="850"/>
      <c r="E134" s="867">
        <f>E103</f>
        <v>18050.25</v>
      </c>
      <c r="F134" s="880"/>
      <c r="H134"/>
    </row>
    <row r="135" spans="1:8" x14ac:dyDescent="0.2">
      <c r="A135" s="17"/>
      <c r="B135" s="216" t="s">
        <v>23</v>
      </c>
      <c r="C135" s="1005"/>
      <c r="D135" s="850"/>
      <c r="E135" s="867">
        <f>E113</f>
        <v>5325</v>
      </c>
      <c r="F135" s="880"/>
      <c r="H135"/>
    </row>
    <row r="136" spans="1:8" x14ac:dyDescent="0.2">
      <c r="A136" s="17"/>
      <c r="B136" s="216" t="s">
        <v>28</v>
      </c>
      <c r="C136" s="1005"/>
      <c r="D136" s="850"/>
      <c r="E136" s="867">
        <f>E120</f>
        <v>1212.2</v>
      </c>
      <c r="F136" s="880"/>
      <c r="H136"/>
    </row>
    <row r="137" spans="1:8" ht="13.5" thickBot="1" x14ac:dyDescent="0.25">
      <c r="A137" s="17"/>
      <c r="B137" s="216" t="s">
        <v>463</v>
      </c>
      <c r="C137" s="1005"/>
      <c r="D137" s="850"/>
      <c r="E137" s="998">
        <f>E126+E132</f>
        <v>4292.1000000000004</v>
      </c>
      <c r="F137" s="880"/>
      <c r="H137"/>
    </row>
    <row r="138" spans="1:8" ht="15.75" x14ac:dyDescent="0.25">
      <c r="A138" s="520" t="s">
        <v>464</v>
      </c>
      <c r="B138" s="855"/>
      <c r="C138" s="519"/>
      <c r="D138" s="856"/>
      <c r="E138" s="1010">
        <f>SUM(E134:E136)-E137</f>
        <v>20295.349999999999</v>
      </c>
      <c r="F138" s="442"/>
      <c r="G138" s="437"/>
      <c r="H138"/>
    </row>
    <row r="139" spans="1:8" x14ac:dyDescent="0.2">
      <c r="C139" s="142"/>
      <c r="D139" s="46"/>
      <c r="E139" s="46"/>
      <c r="F139" s="46"/>
      <c r="H139"/>
    </row>
    <row r="140" spans="1:8" ht="18" x14ac:dyDescent="0.25">
      <c r="A140" s="1180" t="s">
        <v>578</v>
      </c>
    </row>
    <row r="141" spans="1:8" x14ac:dyDescent="0.2">
      <c r="C141" s="174" t="s">
        <v>11</v>
      </c>
      <c r="D141" s="886" t="s">
        <v>12</v>
      </c>
      <c r="E141" s="887" t="s">
        <v>13</v>
      </c>
      <c r="F141" s="887"/>
    </row>
    <row r="142" spans="1:8" x14ac:dyDescent="0.2">
      <c r="A142" t="s">
        <v>510</v>
      </c>
      <c r="B142" t="s">
        <v>552</v>
      </c>
      <c r="E142" s="60">
        <f>'Standard Bewässerung'!H17</f>
        <v>5446.7199999999993</v>
      </c>
      <c r="F142" s="132">
        <f>E142/$E$117</f>
        <v>14.333473684210524</v>
      </c>
    </row>
    <row r="143" spans="1:8" x14ac:dyDescent="0.2">
      <c r="B143" t="s">
        <v>544</v>
      </c>
      <c r="E143" s="60">
        <f>'Standard Bewässerung'!H22</f>
        <v>1807.6</v>
      </c>
      <c r="F143" s="132">
        <f t="shared" ref="F143:F148" si="5">E143/$E$117</f>
        <v>4.756842105263158</v>
      </c>
    </row>
    <row r="144" spans="1:8" x14ac:dyDescent="0.2">
      <c r="B144" t="s">
        <v>539</v>
      </c>
      <c r="E144" s="60">
        <f>'Standard Bewässerung'!H30</f>
        <v>1486.5</v>
      </c>
      <c r="F144" s="132">
        <f t="shared" si="5"/>
        <v>3.9118421052631578</v>
      </c>
    </row>
    <row r="145" spans="1:7" x14ac:dyDescent="0.2">
      <c r="E145" s="60"/>
      <c r="F145" s="132">
        <f t="shared" si="5"/>
        <v>0</v>
      </c>
    </row>
    <row r="146" spans="1:7" x14ac:dyDescent="0.2">
      <c r="E146" s="1181">
        <f>SUM(E142:E144)</f>
        <v>8740.82</v>
      </c>
      <c r="F146" s="132">
        <f t="shared" si="5"/>
        <v>23.00215789473684</v>
      </c>
    </row>
    <row r="147" spans="1:7" x14ac:dyDescent="0.2">
      <c r="A147" t="s">
        <v>579</v>
      </c>
      <c r="E147" s="1182">
        <f>'Standard Bewässerung'!H47</f>
        <v>2560.9</v>
      </c>
      <c r="F147" s="132">
        <f t="shared" si="5"/>
        <v>6.73921052631579</v>
      </c>
    </row>
    <row r="148" spans="1:7" x14ac:dyDescent="0.2">
      <c r="A148" t="s">
        <v>580</v>
      </c>
      <c r="B148" s="12"/>
      <c r="E148" s="1182">
        <f>'Standard Bewässerung'!H48</f>
        <v>3381.1800000000003</v>
      </c>
      <c r="F148" s="132">
        <f t="shared" si="5"/>
        <v>8.8978421052631589</v>
      </c>
    </row>
    <row r="149" spans="1:7" ht="18" x14ac:dyDescent="0.25">
      <c r="A149" s="1191" t="s">
        <v>581</v>
      </c>
      <c r="B149" s="1192"/>
      <c r="C149" s="1193"/>
      <c r="D149" s="1194"/>
      <c r="E149" s="1195">
        <f>E146+E147+E148</f>
        <v>14682.9</v>
      </c>
      <c r="F149" s="1196">
        <f>E149/E149</f>
        <v>1</v>
      </c>
    </row>
    <row r="151" spans="1:7" x14ac:dyDescent="0.2">
      <c r="A151" t="s">
        <v>587</v>
      </c>
      <c r="C151" t="s">
        <v>588</v>
      </c>
      <c r="D151" s="1219">
        <f>2*4*'Standard Vorgaben'!C20</f>
        <v>960</v>
      </c>
      <c r="E151" s="1220">
        <v>1.05</v>
      </c>
      <c r="F151" s="938">
        <f>D151*E151</f>
        <v>1008</v>
      </c>
    </row>
    <row r="152" spans="1:7" x14ac:dyDescent="0.2">
      <c r="B152" s="16"/>
      <c r="C152" t="s">
        <v>589</v>
      </c>
      <c r="D152" s="1219">
        <f>2*4*'Standard Vorgaben'!C21</f>
        <v>600</v>
      </c>
      <c r="E152" s="1220">
        <v>1.05</v>
      </c>
      <c r="F152" s="938">
        <f>D152*E152</f>
        <v>630</v>
      </c>
    </row>
    <row r="153" spans="1:7" x14ac:dyDescent="0.2">
      <c r="B153" s="16"/>
      <c r="C153" t="s">
        <v>590</v>
      </c>
      <c r="D153" s="1219">
        <f>('Standard Vorgaben'!C20-1)*0.7*'Standard Vorgaben'!C25</f>
        <v>1915.8999999999999</v>
      </c>
      <c r="E153" s="1220">
        <v>1.05</v>
      </c>
      <c r="F153" s="938">
        <f>D153*E153</f>
        <v>2011.6949999999999</v>
      </c>
    </row>
    <row r="154" spans="1:7" ht="13.5" thickBot="1" x14ac:dyDescent="0.25">
      <c r="C154" t="s">
        <v>591</v>
      </c>
      <c r="D154" s="1221">
        <v>400</v>
      </c>
      <c r="E154" s="1220">
        <v>0.28000000000000003</v>
      </c>
      <c r="F154" s="1222">
        <f>D154*E154</f>
        <v>112.00000000000001</v>
      </c>
    </row>
    <row r="155" spans="1:7" x14ac:dyDescent="0.2">
      <c r="A155" s="16" t="s">
        <v>592</v>
      </c>
      <c r="B155" s="16"/>
      <c r="D155" s="46"/>
      <c r="E155" s="62"/>
      <c r="F155" s="1223">
        <f>SUM(F151:F154)</f>
        <v>3761.6949999999997</v>
      </c>
    </row>
    <row r="157" spans="1:7" x14ac:dyDescent="0.2">
      <c r="A157" s="3" t="s">
        <v>598</v>
      </c>
      <c r="B157" s="1225"/>
      <c r="C157" s="1226"/>
      <c r="D157" s="294" t="s">
        <v>594</v>
      </c>
      <c r="E157" s="49" t="s">
        <v>595</v>
      </c>
      <c r="F157" s="49" t="s">
        <v>197</v>
      </c>
      <c r="G157" s="1227"/>
    </row>
    <row r="158" spans="1:7" x14ac:dyDescent="0.2">
      <c r="A158" t="s">
        <v>596</v>
      </c>
      <c r="B158" s="19" t="s">
        <v>597</v>
      </c>
      <c r="D158" s="1228">
        <v>20</v>
      </c>
      <c r="E158" s="62">
        <f>'Standard Vorgaben'!C37</f>
        <v>23.18</v>
      </c>
      <c r="F158" s="1229">
        <f>D158*E158</f>
        <v>463.6</v>
      </c>
      <c r="G158" s="90"/>
    </row>
    <row r="159" spans="1:7" x14ac:dyDescent="0.2">
      <c r="A159" s="1230"/>
      <c r="B159" s="104"/>
      <c r="C159" s="104"/>
      <c r="D159" s="104"/>
      <c r="E159" s="104"/>
      <c r="F159" s="1231"/>
      <c r="G159" s="854"/>
    </row>
  </sheetData>
  <mergeCells count="5">
    <mergeCell ref="L50:M50"/>
    <mergeCell ref="B3:G3"/>
    <mergeCell ref="E7:G7"/>
    <mergeCell ref="E50:G50"/>
    <mergeCell ref="C4:G4"/>
  </mergeCells>
  <phoneticPr fontId="24" type="noConversion"/>
  <printOptions gridLines="1" gridLinesSet="0"/>
  <pageMargins left="0.78740157480314965" right="0.39370078740157483" top="0.59055118110236227" bottom="0.39370078740157483" header="0.51181102362204722" footer="0.51181102362204722"/>
  <pageSetup paperSize="9" scale="60" orientation="portrait" r:id="rId1"/>
  <headerFooter alignWithMargins="0">
    <oddFooter>&amp;L&amp;6&amp;F&amp;C&amp;6&amp;A  &amp;D&amp;R&amp;6Kontakt: patrik.mouron.faw.admin.ch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tandard1_20">
    <tabColor indexed="18"/>
  </sheetPr>
  <dimension ref="A1:IV160"/>
  <sheetViews>
    <sheetView zoomScale="75" workbookViewId="0">
      <selection activeCell="C1" sqref="C1"/>
    </sheetView>
  </sheetViews>
  <sheetFormatPr baseColWidth="10" defaultRowHeight="12.75" x14ac:dyDescent="0.2"/>
  <cols>
    <col min="1" max="1" width="37.5703125" style="16" customWidth="1"/>
    <col min="2" max="2" width="24.42578125" style="19" customWidth="1"/>
    <col min="3" max="3" width="15.28515625" style="12" customWidth="1"/>
    <col min="4" max="4" width="12.7109375" style="12" customWidth="1"/>
    <col min="5" max="5" width="13.28515625" style="30" customWidth="1"/>
    <col min="6" max="6" width="17.5703125" style="31" customWidth="1"/>
    <col min="7" max="7" width="6.28515625" style="12" customWidth="1"/>
    <col min="8" max="8" width="37.5703125" style="12" customWidth="1"/>
    <col min="9" max="9" width="24.42578125" style="12" customWidth="1"/>
    <col min="10" max="10" width="15.28515625" customWidth="1"/>
    <col min="11" max="11" width="12.7109375" customWidth="1"/>
    <col min="12" max="12" width="13.28515625" customWidth="1"/>
    <col min="13" max="13" width="17.5703125" customWidth="1"/>
    <col min="14" max="14" width="7.85546875" customWidth="1"/>
    <col min="15" max="15" width="37.5703125" customWidth="1"/>
    <col min="16" max="16" width="24.42578125" customWidth="1"/>
    <col min="17" max="17" width="15.28515625" customWidth="1"/>
    <col min="18" max="18" width="12.7109375" style="32" customWidth="1"/>
    <col min="19" max="19" width="13.28515625" customWidth="1"/>
    <col min="20" max="20" width="17.5703125" customWidth="1"/>
    <col min="21" max="21" width="6.28515625" customWidth="1"/>
    <col min="22" max="22" width="37.5703125" customWidth="1"/>
    <col min="23" max="23" width="24.42578125" customWidth="1"/>
    <col min="24" max="24" width="15.28515625" customWidth="1"/>
    <col min="25" max="25" width="12.7109375" customWidth="1"/>
    <col min="26" max="26" width="13.28515625" customWidth="1"/>
    <col min="27" max="27" width="17.5703125" customWidth="1"/>
    <col min="28" max="28" width="6.28515625" customWidth="1"/>
    <col min="29" max="29" width="37.5703125" customWidth="1"/>
    <col min="30" max="30" width="24.42578125" customWidth="1"/>
    <col min="31" max="31" width="15.28515625" customWidth="1"/>
    <col min="32" max="32" width="12.7109375" customWidth="1"/>
    <col min="33" max="33" width="13.28515625" customWidth="1"/>
    <col min="34" max="34" width="17.5703125" customWidth="1"/>
    <col min="35" max="35" width="6.28515625" customWidth="1"/>
    <col min="36" max="36" width="37.5703125" customWidth="1"/>
    <col min="37" max="37" width="24.42578125" customWidth="1"/>
    <col min="38" max="38" width="15.28515625" customWidth="1"/>
    <col min="39" max="39" width="12.7109375" customWidth="1"/>
    <col min="40" max="40" width="13.28515625" customWidth="1"/>
    <col min="41" max="41" width="17.5703125" customWidth="1"/>
    <col min="42" max="42" width="10" customWidth="1"/>
    <col min="43" max="43" width="37.5703125" customWidth="1"/>
    <col min="44" max="44" width="24.42578125" customWidth="1"/>
    <col min="45" max="45" width="15.28515625" customWidth="1"/>
    <col min="46" max="46" width="12.7109375" customWidth="1"/>
    <col min="47" max="47" width="13.28515625" customWidth="1"/>
    <col min="48" max="48" width="17.5703125" customWidth="1"/>
    <col min="49" max="49" width="6.28515625" customWidth="1"/>
    <col min="50" max="50" width="37.5703125" customWidth="1"/>
    <col min="51" max="51" width="24.42578125" customWidth="1"/>
    <col min="52" max="52" width="15.28515625" customWidth="1"/>
    <col min="53" max="53" width="12.7109375" customWidth="1"/>
    <col min="54" max="54" width="13.28515625" customWidth="1"/>
    <col min="55" max="55" width="17.5703125" customWidth="1"/>
    <col min="56" max="56" width="6.28515625" customWidth="1"/>
    <col min="57" max="57" width="37.5703125" customWidth="1"/>
    <col min="58" max="58" width="24.42578125" customWidth="1"/>
    <col min="59" max="59" width="15.28515625" customWidth="1"/>
    <col min="60" max="60" width="12.7109375" customWidth="1"/>
    <col min="61" max="61" width="13.28515625" customWidth="1"/>
    <col min="62" max="62" width="17.5703125" customWidth="1"/>
    <col min="63" max="63" width="6.28515625" customWidth="1"/>
    <col min="64" max="64" width="37.5703125" customWidth="1"/>
    <col min="65" max="65" width="24.42578125" customWidth="1"/>
    <col min="66" max="66" width="15.28515625" customWidth="1"/>
    <col min="67" max="67" width="12.7109375" customWidth="1"/>
    <col min="68" max="68" width="13.28515625" customWidth="1"/>
    <col min="69" max="69" width="17.5703125" customWidth="1"/>
    <col min="70" max="70" width="6.28515625" customWidth="1"/>
    <col min="71" max="71" width="37.5703125" customWidth="1"/>
    <col min="72" max="72" width="24.42578125" customWidth="1"/>
    <col min="73" max="73" width="15.28515625" customWidth="1"/>
    <col min="74" max="74" width="12.7109375" customWidth="1"/>
    <col min="75" max="75" width="13.28515625" customWidth="1"/>
    <col min="76" max="76" width="17.5703125" customWidth="1"/>
    <col min="77" max="77" width="6.28515625" customWidth="1"/>
    <col min="78" max="78" width="37.5703125" customWidth="1"/>
    <col min="79" max="79" width="24.42578125" customWidth="1"/>
    <col min="80" max="80" width="15.28515625" customWidth="1"/>
    <col min="81" max="81" width="12.7109375" customWidth="1"/>
    <col min="82" max="82" width="13.28515625" customWidth="1"/>
    <col min="83" max="83" width="17.5703125" customWidth="1"/>
    <col min="84" max="84" width="8.7109375" customWidth="1"/>
    <col min="85" max="85" width="37.5703125" customWidth="1"/>
    <col min="86" max="86" width="24.42578125" customWidth="1"/>
    <col min="87" max="87" width="15.28515625" customWidth="1"/>
    <col min="88" max="88" width="12.7109375" customWidth="1"/>
    <col min="89" max="89" width="13.28515625" customWidth="1"/>
    <col min="90" max="90" width="17.5703125" customWidth="1"/>
    <col min="91" max="91" width="6.28515625" customWidth="1"/>
    <col min="92" max="92" width="37.42578125" customWidth="1"/>
    <col min="93" max="93" width="24.42578125" customWidth="1"/>
    <col min="94" max="94" width="15.28515625" customWidth="1"/>
    <col min="95" max="95" width="12.7109375" customWidth="1"/>
    <col min="96" max="96" width="13.28515625" customWidth="1"/>
    <col min="97" max="97" width="17.5703125" customWidth="1"/>
    <col min="98" max="98" width="6.28515625" customWidth="1"/>
    <col min="99" max="99" width="37.5703125" customWidth="1"/>
    <col min="100" max="100" width="24.42578125" customWidth="1"/>
    <col min="101" max="101" width="15.28515625" customWidth="1"/>
    <col min="102" max="102" width="12.7109375" customWidth="1"/>
    <col min="103" max="103" width="13.28515625" customWidth="1"/>
    <col min="104" max="104" width="17.5703125" customWidth="1"/>
    <col min="105" max="105" width="6.28515625" style="17" customWidth="1"/>
    <col min="106" max="106" width="37.5703125" customWidth="1"/>
    <col min="107" max="107" width="24.42578125" customWidth="1"/>
    <col min="108" max="108" width="15.28515625" customWidth="1"/>
    <col min="109" max="109" width="12.7109375" customWidth="1"/>
    <col min="110" max="110" width="13.28515625" customWidth="1"/>
    <col min="111" max="111" width="17.5703125" customWidth="1"/>
    <col min="112" max="112" width="6.28515625" customWidth="1"/>
    <col min="113" max="113" width="37.5703125" customWidth="1"/>
    <col min="114" max="114" width="24.42578125" customWidth="1"/>
    <col min="115" max="115" width="15.28515625" customWidth="1"/>
    <col min="116" max="116" width="12.7109375" customWidth="1"/>
    <col min="117" max="117" width="13.28515625" customWidth="1"/>
    <col min="118" max="118" width="17.5703125" customWidth="1"/>
    <col min="119" max="119" width="6.28515625" customWidth="1"/>
    <col min="120" max="120" width="37.5703125" customWidth="1"/>
    <col min="121" max="121" width="24.42578125" customWidth="1"/>
    <col min="122" max="122" width="15.28515625" customWidth="1"/>
    <col min="123" max="123" width="12.7109375" customWidth="1"/>
    <col min="124" max="124" width="13.28515625" customWidth="1"/>
    <col min="125" max="125" width="17.5703125" customWidth="1"/>
    <col min="126" max="126" width="6.28515625" customWidth="1"/>
    <col min="127" max="127" width="37.5703125" customWidth="1"/>
    <col min="128" max="128" width="24.42578125" customWidth="1"/>
    <col min="129" max="129" width="15.28515625" customWidth="1"/>
    <col min="130" max="130" width="12.7109375" customWidth="1"/>
    <col min="131" max="131" width="13.28515625" customWidth="1"/>
    <col min="132" max="132" width="17.5703125" customWidth="1"/>
    <col min="133" max="133" width="6.28515625" customWidth="1"/>
    <col min="134" max="134" width="37.5703125" customWidth="1"/>
    <col min="135" max="135" width="24.42578125" customWidth="1"/>
    <col min="136" max="136" width="15.28515625" customWidth="1"/>
    <col min="137" max="137" width="12.7109375" customWidth="1"/>
    <col min="138" max="138" width="13.28515625" customWidth="1"/>
    <col min="139" max="139" width="17.5703125" customWidth="1"/>
    <col min="140" max="140" width="6.28515625" customWidth="1"/>
  </cols>
  <sheetData>
    <row r="1" spans="1:187" ht="44.25" customHeight="1" x14ac:dyDescent="0.3">
      <c r="A1" s="1036" t="str">
        <f>'Standard Vorgaben'!A1</f>
        <v>Arbokost 2023</v>
      </c>
      <c r="B1" s="593" t="str">
        <f>'Standard Vorgaben'!B9</f>
        <v>Tafelbirnen</v>
      </c>
      <c r="C1" s="447"/>
      <c r="D1" s="448"/>
      <c r="E1" s="449"/>
      <c r="F1" s="450"/>
      <c r="G1" s="451"/>
      <c r="H1" s="1295"/>
      <c r="I1" s="1295"/>
      <c r="J1" s="447"/>
      <c r="K1" s="448"/>
      <c r="L1" s="449"/>
      <c r="M1" s="450"/>
      <c r="N1" s="451"/>
      <c r="O1" s="1295"/>
      <c r="P1" s="1295"/>
      <c r="Q1" s="447"/>
      <c r="R1" s="448"/>
      <c r="S1" s="449"/>
      <c r="T1" s="450"/>
      <c r="U1" s="451"/>
      <c r="V1" s="1295"/>
      <c r="W1" s="1295"/>
      <c r="X1" s="447"/>
      <c r="Y1" s="448"/>
      <c r="Z1" s="449"/>
      <c r="AA1" s="450"/>
      <c r="AB1" s="451"/>
      <c r="AC1" s="1295"/>
      <c r="AD1" s="1295"/>
      <c r="AE1" s="447"/>
      <c r="AF1" s="448"/>
      <c r="AG1" s="449"/>
      <c r="AH1" s="450"/>
      <c r="AI1" s="451"/>
      <c r="AJ1" s="1295"/>
      <c r="AK1" s="1295"/>
      <c r="AL1" s="447"/>
      <c r="AM1" s="448"/>
      <c r="AN1" s="449"/>
      <c r="AO1" s="450"/>
      <c r="AP1" s="451"/>
      <c r="AQ1" s="1295"/>
      <c r="AR1" s="1295"/>
      <c r="AS1" s="447"/>
      <c r="AT1" s="448"/>
      <c r="AU1" s="449"/>
      <c r="AV1" s="450"/>
      <c r="AW1" s="451"/>
      <c r="AX1" s="1295"/>
      <c r="AY1" s="1295"/>
      <c r="AZ1" s="447"/>
      <c r="BA1" s="448"/>
      <c r="BB1" s="449"/>
      <c r="BC1" s="450"/>
      <c r="BD1" s="451"/>
      <c r="BE1" s="1295"/>
      <c r="BF1" s="1295"/>
      <c r="BG1" s="447"/>
      <c r="BH1" s="448"/>
      <c r="BI1" s="449"/>
      <c r="BJ1" s="450"/>
      <c r="BK1" s="451"/>
      <c r="BL1" s="1295"/>
      <c r="BM1" s="1295"/>
      <c r="BN1" s="447"/>
      <c r="BO1" s="448"/>
      <c r="BP1" s="449"/>
      <c r="BQ1" s="450"/>
      <c r="BR1" s="451"/>
      <c r="BS1" s="1295"/>
      <c r="BT1" s="1295"/>
      <c r="BU1" s="447"/>
      <c r="BV1" s="448"/>
      <c r="BW1" s="449"/>
      <c r="BX1" s="450"/>
      <c r="BY1" s="451"/>
      <c r="BZ1" s="1295"/>
      <c r="CA1" s="1295"/>
      <c r="CB1" s="447"/>
      <c r="CC1" s="448"/>
      <c r="CD1" s="449"/>
      <c r="CE1" s="450"/>
      <c r="CF1" s="451"/>
      <c r="CG1" s="1295"/>
      <c r="CH1" s="1295"/>
      <c r="CI1" s="447"/>
      <c r="CJ1" s="448"/>
      <c r="CK1" s="449"/>
      <c r="CL1" s="450"/>
      <c r="CM1" s="451"/>
      <c r="CN1" s="1295"/>
      <c r="CO1" s="1295"/>
      <c r="CP1" s="447"/>
      <c r="CQ1" s="448"/>
      <c r="CR1" s="449"/>
      <c r="CS1" s="450"/>
      <c r="CT1" s="451"/>
      <c r="CU1" s="1295"/>
      <c r="CV1" s="1295"/>
      <c r="CW1" s="447"/>
      <c r="CX1" s="448"/>
      <c r="CY1" s="449"/>
      <c r="CZ1" s="450"/>
      <c r="DA1" s="451"/>
      <c r="DB1" s="452"/>
      <c r="DC1" s="452"/>
      <c r="DD1" s="452"/>
      <c r="DE1" s="452"/>
      <c r="DF1" s="452"/>
      <c r="DG1" s="452"/>
      <c r="DH1" s="452"/>
      <c r="DI1" s="452"/>
      <c r="DJ1" s="452"/>
      <c r="DK1" s="452"/>
      <c r="DL1" s="452"/>
      <c r="DM1" s="452"/>
      <c r="DN1" s="452"/>
      <c r="DO1" s="452"/>
      <c r="DP1" s="452"/>
      <c r="DQ1" s="452"/>
      <c r="DR1" s="452"/>
      <c r="DS1" s="452"/>
      <c r="DT1" s="452"/>
      <c r="DU1" s="452"/>
      <c r="DV1" s="452"/>
      <c r="DW1" s="452"/>
      <c r="DX1" s="452"/>
      <c r="DY1" s="452"/>
      <c r="DZ1" s="452"/>
      <c r="EA1" s="452"/>
      <c r="EB1" s="452"/>
      <c r="EC1" s="452"/>
      <c r="ED1" s="452"/>
      <c r="EE1" s="452"/>
      <c r="EF1" s="452"/>
      <c r="EG1" s="452"/>
      <c r="EH1" s="452"/>
      <c r="EI1" s="452"/>
      <c r="EJ1" s="452"/>
    </row>
    <row r="2" spans="1:187" s="872" customFormat="1" ht="12.75" customHeight="1" x14ac:dyDescent="0.6">
      <c r="A2" s="894"/>
      <c r="B2" s="894"/>
      <c r="C2" s="888"/>
      <c r="D2" s="889"/>
      <c r="E2" s="890"/>
      <c r="F2" s="891"/>
      <c r="G2" s="888"/>
      <c r="H2" s="892"/>
      <c r="I2" s="892"/>
      <c r="J2" s="888"/>
      <c r="K2" s="889"/>
      <c r="L2" s="890"/>
      <c r="M2" s="891"/>
      <c r="N2" s="888"/>
      <c r="O2" s="892"/>
      <c r="P2" s="892"/>
      <c r="Q2" s="888"/>
      <c r="R2" s="889"/>
      <c r="S2" s="890"/>
      <c r="T2" s="891"/>
      <c r="U2" s="888"/>
      <c r="V2" s="892"/>
      <c r="W2" s="892"/>
      <c r="X2" s="888"/>
      <c r="Y2" s="889"/>
      <c r="Z2" s="890"/>
      <c r="AA2" s="891"/>
      <c r="AB2" s="888"/>
      <c r="AC2" s="892"/>
      <c r="AD2" s="892"/>
      <c r="AE2" s="888"/>
      <c r="AF2" s="889"/>
      <c r="AG2" s="890"/>
      <c r="AH2" s="891"/>
      <c r="AI2" s="888"/>
      <c r="AJ2" s="892"/>
      <c r="AK2" s="892"/>
      <c r="AL2" s="888"/>
      <c r="AM2" s="889"/>
      <c r="AN2" s="890"/>
      <c r="AO2" s="891"/>
      <c r="AP2" s="888"/>
      <c r="AQ2" s="892"/>
      <c r="AR2" s="892"/>
      <c r="AS2" s="888"/>
      <c r="AT2" s="889"/>
      <c r="AU2" s="890"/>
      <c r="AV2" s="891"/>
      <c r="AW2" s="888"/>
      <c r="AX2" s="892"/>
      <c r="AY2" s="892"/>
      <c r="AZ2" s="888"/>
      <c r="BA2" s="889"/>
      <c r="BB2" s="890"/>
      <c r="BC2" s="891"/>
      <c r="BD2" s="888"/>
      <c r="BE2" s="892"/>
      <c r="BF2" s="892"/>
      <c r="BG2" s="888"/>
      <c r="BH2" s="889"/>
      <c r="BI2" s="890"/>
      <c r="BJ2" s="891"/>
      <c r="BK2" s="888"/>
      <c r="BL2" s="892"/>
      <c r="BM2" s="892"/>
      <c r="BN2" s="888"/>
      <c r="BO2" s="889"/>
      <c r="BP2" s="890"/>
      <c r="BQ2" s="891"/>
      <c r="BR2" s="888"/>
      <c r="BS2" s="892"/>
      <c r="BT2" s="892"/>
      <c r="BU2" s="888"/>
      <c r="BV2" s="889"/>
      <c r="BW2" s="890"/>
      <c r="BX2" s="891"/>
      <c r="BY2" s="888"/>
      <c r="BZ2" s="892"/>
      <c r="CA2" s="892"/>
      <c r="CB2" s="888"/>
      <c r="CC2" s="889"/>
      <c r="CD2" s="890"/>
      <c r="CE2" s="891"/>
      <c r="CF2" s="888"/>
      <c r="CG2" s="892"/>
      <c r="CH2" s="892"/>
      <c r="CI2" s="888"/>
      <c r="CJ2" s="889"/>
      <c r="CK2" s="890"/>
      <c r="CL2" s="891"/>
      <c r="CM2" s="888"/>
      <c r="CN2" s="892"/>
      <c r="CO2" s="892"/>
      <c r="CP2" s="888"/>
      <c r="CQ2" s="889"/>
      <c r="CR2" s="890"/>
      <c r="CS2" s="891"/>
      <c r="CT2" s="888"/>
      <c r="CU2" s="892"/>
      <c r="CV2" s="892"/>
      <c r="CW2" s="888"/>
      <c r="CX2" s="889"/>
      <c r="CY2" s="890"/>
      <c r="CZ2" s="891"/>
      <c r="DA2" s="888"/>
      <c r="DB2" s="893"/>
      <c r="DC2" s="893"/>
      <c r="DD2" s="893"/>
      <c r="DE2" s="893"/>
      <c r="DF2" s="893"/>
      <c r="DG2" s="893"/>
      <c r="DH2" s="893"/>
      <c r="DI2" s="893"/>
      <c r="DJ2" s="893"/>
      <c r="DK2" s="893"/>
      <c r="DL2" s="893"/>
      <c r="DM2" s="893"/>
      <c r="DN2" s="893"/>
      <c r="DO2" s="893"/>
      <c r="DP2" s="893"/>
      <c r="DQ2" s="893"/>
      <c r="DR2" s="893"/>
      <c r="DS2" s="893"/>
      <c r="DT2" s="893"/>
      <c r="DU2" s="893"/>
      <c r="DV2" s="893"/>
      <c r="DW2" s="893"/>
      <c r="DX2" s="893"/>
      <c r="DY2" s="893"/>
      <c r="DZ2" s="893"/>
      <c r="EA2" s="893"/>
      <c r="EB2" s="893"/>
      <c r="EC2" s="893"/>
      <c r="ED2" s="893"/>
      <c r="EE2" s="893"/>
      <c r="EF2" s="893"/>
      <c r="EG2" s="893"/>
      <c r="EH2" s="893"/>
      <c r="EI2" s="893"/>
      <c r="EJ2" s="893"/>
    </row>
    <row r="3" spans="1:187" s="452" customFormat="1" ht="3.75" customHeight="1" x14ac:dyDescent="0.6">
      <c r="A3" s="599"/>
      <c r="B3" s="599"/>
      <c r="C3" s="447"/>
      <c r="D3" s="448"/>
      <c r="E3" s="449"/>
      <c r="F3" s="450"/>
      <c r="G3" s="451"/>
      <c r="H3" s="592"/>
      <c r="I3" s="592"/>
      <c r="J3" s="447"/>
      <c r="K3" s="448"/>
      <c r="L3" s="449"/>
      <c r="M3" s="450"/>
      <c r="N3" s="451"/>
      <c r="O3" s="592"/>
      <c r="P3" s="592"/>
      <c r="Q3" s="447"/>
      <c r="R3" s="448"/>
      <c r="S3" s="449"/>
      <c r="T3" s="450"/>
      <c r="U3" s="451"/>
      <c r="V3" s="592"/>
      <c r="W3" s="592"/>
      <c r="X3" s="447"/>
      <c r="Y3" s="448"/>
      <c r="Z3" s="449"/>
      <c r="AA3" s="450"/>
      <c r="AB3" s="451"/>
      <c r="AC3" s="592"/>
      <c r="AD3" s="592"/>
      <c r="AE3" s="447"/>
      <c r="AF3" s="448"/>
      <c r="AG3" s="449"/>
      <c r="AH3" s="450"/>
      <c r="AI3" s="451"/>
      <c r="AJ3" s="592"/>
      <c r="AK3" s="592"/>
      <c r="AL3" s="447"/>
      <c r="AM3" s="448"/>
      <c r="AN3" s="449"/>
      <c r="AO3" s="450"/>
      <c r="AP3" s="451"/>
      <c r="AQ3" s="592"/>
      <c r="AR3" s="592"/>
      <c r="AS3" s="447"/>
      <c r="AT3" s="448"/>
      <c r="AU3" s="449"/>
      <c r="AV3" s="450"/>
      <c r="AW3" s="451"/>
      <c r="AX3" s="592"/>
      <c r="AY3" s="592"/>
      <c r="AZ3" s="447"/>
      <c r="BA3" s="448"/>
      <c r="BB3" s="449"/>
      <c r="BC3" s="450"/>
      <c r="BD3" s="451"/>
      <c r="BE3" s="592"/>
      <c r="BF3" s="592"/>
      <c r="BG3" s="447"/>
      <c r="BH3" s="448"/>
      <c r="BI3" s="449"/>
      <c r="BJ3" s="450"/>
      <c r="BK3" s="451"/>
      <c r="BL3" s="592"/>
      <c r="BM3" s="592"/>
      <c r="BN3" s="447"/>
      <c r="BO3" s="448"/>
      <c r="BP3" s="449"/>
      <c r="BQ3" s="450"/>
      <c r="BR3" s="451"/>
      <c r="BS3" s="592"/>
      <c r="BT3" s="592"/>
      <c r="BU3" s="447"/>
      <c r="BV3" s="448"/>
      <c r="BW3" s="449"/>
      <c r="BX3" s="450"/>
      <c r="BY3" s="451"/>
      <c r="BZ3" s="592"/>
      <c r="CA3" s="592"/>
      <c r="CB3" s="447"/>
      <c r="CC3" s="448"/>
      <c r="CD3" s="449"/>
      <c r="CE3" s="450"/>
      <c r="CF3" s="451"/>
      <c r="CG3" s="592"/>
      <c r="CH3" s="592"/>
      <c r="CI3" s="447"/>
      <c r="CJ3" s="448"/>
      <c r="CK3" s="449"/>
      <c r="CL3" s="450"/>
      <c r="CM3" s="451"/>
      <c r="CN3" s="592"/>
      <c r="CO3" s="592"/>
      <c r="CP3" s="447"/>
      <c r="CQ3" s="448"/>
      <c r="CR3" s="449"/>
      <c r="CS3" s="450"/>
      <c r="CT3" s="451"/>
      <c r="CU3" s="592"/>
      <c r="CV3" s="592"/>
      <c r="CW3" s="447"/>
      <c r="CX3" s="448"/>
      <c r="CY3" s="449"/>
      <c r="CZ3" s="450"/>
      <c r="DA3" s="451"/>
    </row>
    <row r="4" spans="1:187" s="911" customFormat="1" ht="24.75" customHeight="1" x14ac:dyDescent="0.25">
      <c r="A4" s="902" t="s">
        <v>355</v>
      </c>
      <c r="B4" s="903"/>
      <c r="C4" s="904"/>
      <c r="D4" s="905"/>
      <c r="E4" s="906"/>
      <c r="F4" s="905"/>
      <c r="G4" s="907"/>
      <c r="H4" s="902" t="s">
        <v>355</v>
      </c>
      <c r="I4" s="903"/>
      <c r="J4" s="908"/>
      <c r="K4" s="909"/>
      <c r="L4" s="910"/>
      <c r="M4" s="909"/>
      <c r="N4" s="903"/>
      <c r="O4" s="902" t="s">
        <v>355</v>
      </c>
      <c r="P4" s="903"/>
      <c r="Q4" s="908"/>
      <c r="R4" s="909"/>
      <c r="S4" s="910"/>
      <c r="T4" s="909"/>
      <c r="U4" s="903"/>
      <c r="V4" s="902" t="s">
        <v>355</v>
      </c>
      <c r="W4" s="903"/>
      <c r="X4" s="908"/>
      <c r="Y4" s="909"/>
      <c r="Z4" s="910"/>
      <c r="AA4" s="909"/>
      <c r="AB4" s="903"/>
      <c r="AC4" s="902" t="s">
        <v>355</v>
      </c>
      <c r="AD4" s="903"/>
      <c r="AE4" s="908"/>
      <c r="AF4" s="909"/>
      <c r="AG4" s="910"/>
      <c r="AH4" s="909"/>
      <c r="AI4" s="903"/>
      <c r="AJ4" s="902" t="s">
        <v>355</v>
      </c>
      <c r="AK4" s="903"/>
      <c r="AL4" s="908"/>
      <c r="AM4" s="909"/>
      <c r="AN4" s="910"/>
      <c r="AO4" s="909"/>
      <c r="AP4" s="903"/>
      <c r="AQ4" s="902" t="s">
        <v>355</v>
      </c>
      <c r="AR4" s="903"/>
      <c r="AS4" s="908"/>
      <c r="AT4" s="909"/>
      <c r="AU4" s="910"/>
      <c r="AV4" s="909"/>
      <c r="AW4" s="903"/>
      <c r="AX4" s="902" t="s">
        <v>355</v>
      </c>
      <c r="AY4" s="903"/>
      <c r="AZ4" s="908"/>
      <c r="BA4" s="909"/>
      <c r="BB4" s="910"/>
      <c r="BC4" s="909"/>
      <c r="BD4" s="903"/>
      <c r="BE4" s="902" t="s">
        <v>355</v>
      </c>
      <c r="BF4" s="903"/>
      <c r="BG4" s="908"/>
      <c r="BH4" s="909"/>
      <c r="BI4" s="910"/>
      <c r="BJ4" s="909"/>
      <c r="BK4" s="903"/>
      <c r="BL4" s="902" t="s">
        <v>355</v>
      </c>
      <c r="BM4" s="903"/>
      <c r="BN4" s="908"/>
      <c r="BO4" s="909"/>
      <c r="BP4" s="910"/>
      <c r="BQ4" s="909"/>
      <c r="BR4" s="903"/>
      <c r="BS4" s="902" t="s">
        <v>355</v>
      </c>
      <c r="BT4" s="903"/>
      <c r="BU4" s="908"/>
      <c r="BV4" s="909"/>
      <c r="BW4" s="910"/>
      <c r="BX4" s="909"/>
      <c r="BY4" s="903"/>
      <c r="BZ4" s="902" t="s">
        <v>355</v>
      </c>
      <c r="CA4" s="903"/>
      <c r="CB4" s="908"/>
      <c r="CC4" s="909"/>
      <c r="CD4" s="910"/>
      <c r="CE4" s="909"/>
      <c r="CF4" s="903"/>
      <c r="CG4" s="902" t="s">
        <v>355</v>
      </c>
      <c r="CH4" s="903"/>
      <c r="CI4" s="908"/>
      <c r="CJ4" s="909"/>
      <c r="CK4" s="910"/>
      <c r="CL4" s="909"/>
      <c r="CM4" s="903"/>
      <c r="CN4" s="902" t="s">
        <v>355</v>
      </c>
      <c r="CO4" s="903"/>
      <c r="CP4" s="908"/>
      <c r="CQ4" s="909"/>
      <c r="CR4" s="910"/>
      <c r="CS4" s="909"/>
      <c r="CT4" s="903"/>
      <c r="CU4" s="902" t="s">
        <v>355</v>
      </c>
      <c r="CV4" s="903"/>
      <c r="CW4" s="908"/>
      <c r="CX4" s="909"/>
      <c r="CY4" s="910"/>
      <c r="CZ4" s="909"/>
      <c r="DA4" s="903"/>
      <c r="DB4" s="902" t="s">
        <v>355</v>
      </c>
      <c r="DC4" s="903"/>
      <c r="DD4" s="908"/>
      <c r="DE4" s="909"/>
      <c r="DF4" s="910"/>
      <c r="DG4" s="909"/>
      <c r="DH4" s="903"/>
      <c r="DI4" s="909" t="s">
        <v>355</v>
      </c>
      <c r="DJ4" s="903"/>
      <c r="DK4" s="908"/>
      <c r="DL4" s="909"/>
      <c r="DM4" s="910"/>
      <c r="DN4" s="909"/>
      <c r="DO4" s="903"/>
      <c r="DP4" s="909" t="s">
        <v>355</v>
      </c>
      <c r="DQ4" s="903"/>
      <c r="DR4" s="908"/>
      <c r="DS4" s="909"/>
      <c r="DT4" s="910"/>
      <c r="DU4" s="909"/>
      <c r="DV4" s="903"/>
      <c r="DW4" s="909" t="s">
        <v>355</v>
      </c>
      <c r="DX4" s="903"/>
      <c r="DY4" s="908"/>
      <c r="DZ4" s="909"/>
      <c r="EA4" s="910"/>
      <c r="EB4" s="909"/>
      <c r="EC4" s="903"/>
      <c r="ED4" s="909" t="s">
        <v>355</v>
      </c>
      <c r="EE4" s="903"/>
      <c r="EF4" s="908"/>
      <c r="EG4" s="909"/>
      <c r="EH4" s="910"/>
      <c r="EI4" s="909"/>
      <c r="EJ4" s="903"/>
    </row>
    <row r="5" spans="1:187" s="549" customFormat="1" ht="16.5" customHeight="1" x14ac:dyDescent="0.25">
      <c r="A5" s="900" t="s">
        <v>39</v>
      </c>
      <c r="B5" s="918">
        <f>'Standard Vorgaben'!$B$12</f>
        <v>2000</v>
      </c>
      <c r="C5" s="1296"/>
      <c r="D5" s="1297"/>
      <c r="E5" s="1297"/>
      <c r="F5" s="1297"/>
      <c r="G5" s="1297"/>
      <c r="H5" s="900" t="s">
        <v>40</v>
      </c>
      <c r="I5" s="919"/>
      <c r="J5" s="1281"/>
      <c r="K5" s="1282"/>
      <c r="L5" s="1282"/>
      <c r="M5" s="1282"/>
      <c r="N5" s="1282"/>
      <c r="O5" s="900" t="s">
        <v>41</v>
      </c>
      <c r="P5" s="919"/>
      <c r="Q5" s="1281"/>
      <c r="R5" s="1282"/>
      <c r="S5" s="1282"/>
      <c r="T5" s="1282"/>
      <c r="U5" s="1282"/>
      <c r="V5" s="900" t="s">
        <v>42</v>
      </c>
      <c r="W5" s="919"/>
      <c r="X5" s="1281"/>
      <c r="Y5" s="1282"/>
      <c r="Z5" s="1282"/>
      <c r="AA5" s="1282"/>
      <c r="AB5" s="1282"/>
      <c r="AC5" s="900" t="s">
        <v>43</v>
      </c>
      <c r="AD5" s="919"/>
      <c r="AE5" s="1281"/>
      <c r="AF5" s="1282"/>
      <c r="AG5" s="1282"/>
      <c r="AH5" s="1282"/>
      <c r="AI5" s="1282"/>
      <c r="AJ5" s="900" t="s">
        <v>44</v>
      </c>
      <c r="AK5" s="919"/>
      <c r="AL5" s="1281"/>
      <c r="AM5" s="1282"/>
      <c r="AN5" s="1282"/>
      <c r="AO5" s="1282"/>
      <c r="AP5" s="1282"/>
      <c r="AQ5" s="900" t="s">
        <v>45</v>
      </c>
      <c r="AR5" s="919"/>
      <c r="AS5" s="1281"/>
      <c r="AT5" s="1282"/>
      <c r="AU5" s="1282"/>
      <c r="AV5" s="1282"/>
      <c r="AW5" s="1282"/>
      <c r="AX5" s="900" t="s">
        <v>46</v>
      </c>
      <c r="AY5" s="919"/>
      <c r="AZ5" s="1281"/>
      <c r="BA5" s="1282"/>
      <c r="BB5" s="1282"/>
      <c r="BC5" s="1282"/>
      <c r="BD5" s="1282"/>
      <c r="BE5" s="900" t="s">
        <v>47</v>
      </c>
      <c r="BF5" s="919"/>
      <c r="BG5" s="1281"/>
      <c r="BH5" s="1282"/>
      <c r="BI5" s="1282"/>
      <c r="BJ5" s="1282"/>
      <c r="BK5" s="1282"/>
      <c r="BL5" s="900" t="s">
        <v>48</v>
      </c>
      <c r="BM5" s="919"/>
      <c r="BN5" s="1281"/>
      <c r="BO5" s="1282"/>
      <c r="BP5" s="1282"/>
      <c r="BQ5" s="1282"/>
      <c r="BR5" s="1282"/>
      <c r="BS5" s="900" t="s">
        <v>49</v>
      </c>
      <c r="BT5" s="919"/>
      <c r="BU5" s="1281"/>
      <c r="BV5" s="1282"/>
      <c r="BW5" s="1282"/>
      <c r="BX5" s="1282"/>
      <c r="BY5" s="1282"/>
      <c r="BZ5" s="900" t="s">
        <v>50</v>
      </c>
      <c r="CA5" s="919"/>
      <c r="CB5" s="1281"/>
      <c r="CC5" s="1282"/>
      <c r="CD5" s="1282"/>
      <c r="CE5" s="1282"/>
      <c r="CF5" s="1282"/>
      <c r="CG5" s="900" t="s">
        <v>51</v>
      </c>
      <c r="CH5" s="919"/>
      <c r="CI5" s="1281"/>
      <c r="CJ5" s="1282"/>
      <c r="CK5" s="1282"/>
      <c r="CL5" s="1282"/>
      <c r="CM5" s="1282"/>
      <c r="CN5" s="900" t="s">
        <v>52</v>
      </c>
      <c r="CO5" s="919"/>
      <c r="CP5" s="1281"/>
      <c r="CQ5" s="1282"/>
      <c r="CR5" s="1282"/>
      <c r="CS5" s="1282"/>
      <c r="CT5" s="1282"/>
      <c r="CU5" s="900" t="s">
        <v>53</v>
      </c>
      <c r="CV5" s="919"/>
      <c r="CW5" s="1281"/>
      <c r="CX5" s="1282"/>
      <c r="CY5" s="1282"/>
      <c r="CZ5" s="1282"/>
      <c r="DA5" s="1282"/>
      <c r="DB5" s="900" t="s">
        <v>360</v>
      </c>
      <c r="DC5" s="919"/>
      <c r="DD5" s="1281"/>
      <c r="DE5" s="1282"/>
      <c r="DF5" s="1282"/>
      <c r="DG5" s="1282"/>
      <c r="DH5" s="1282"/>
      <c r="DI5" s="900" t="s">
        <v>361</v>
      </c>
      <c r="DJ5" s="919"/>
      <c r="DK5" s="1281"/>
      <c r="DL5" s="1282"/>
      <c r="DM5" s="1282"/>
      <c r="DN5" s="1282"/>
      <c r="DO5" s="1282"/>
      <c r="DP5" s="900" t="s">
        <v>362</v>
      </c>
      <c r="DQ5" s="919"/>
      <c r="DR5" s="1281"/>
      <c r="DS5" s="1282"/>
      <c r="DT5" s="1282"/>
      <c r="DU5" s="1282"/>
      <c r="DV5" s="1282"/>
      <c r="DW5" s="900" t="s">
        <v>363</v>
      </c>
      <c r="DX5" s="919"/>
      <c r="DY5" s="1281"/>
      <c r="DZ5" s="1282"/>
      <c r="EA5" s="1282"/>
      <c r="EB5" s="1282"/>
      <c r="EC5" s="1282"/>
      <c r="ED5" s="900" t="s">
        <v>364</v>
      </c>
      <c r="EE5" s="919"/>
      <c r="EF5" s="1281"/>
      <c r="EG5" s="1282"/>
      <c r="EH5" s="1282"/>
      <c r="EI5" s="1282"/>
      <c r="EJ5" s="1282"/>
    </row>
    <row r="6" spans="1:187" s="3" customFormat="1" ht="17.25" customHeight="1" x14ac:dyDescent="0.25">
      <c r="A6" s="247" t="s">
        <v>70</v>
      </c>
      <c r="B6" s="597"/>
      <c r="C6" s="595"/>
      <c r="D6" s="594"/>
      <c r="E6" s="901" t="s">
        <v>110</v>
      </c>
      <c r="F6" s="66"/>
      <c r="G6" s="598"/>
      <c r="H6" s="247" t="s">
        <v>70</v>
      </c>
      <c r="I6" s="597"/>
      <c r="J6" s="450"/>
      <c r="K6" s="434"/>
      <c r="M6" s="249" t="s">
        <v>110</v>
      </c>
      <c r="N6" s="450"/>
      <c r="O6" s="247" t="s">
        <v>70</v>
      </c>
      <c r="P6" s="597"/>
      <c r="Q6" s="450"/>
      <c r="R6" s="434"/>
      <c r="T6" s="249" t="s">
        <v>110</v>
      </c>
      <c r="U6" s="450"/>
      <c r="V6" s="247" t="s">
        <v>70</v>
      </c>
      <c r="W6" s="597"/>
      <c r="X6" s="450"/>
      <c r="Y6" s="434"/>
      <c r="AA6" s="249" t="s">
        <v>110</v>
      </c>
      <c r="AB6" s="450"/>
      <c r="AC6" s="247" t="s">
        <v>70</v>
      </c>
      <c r="AD6" s="597"/>
      <c r="AE6" s="450"/>
      <c r="AF6" s="434"/>
      <c r="AH6" s="249" t="s">
        <v>110</v>
      </c>
      <c r="AI6" s="2"/>
      <c r="AJ6" s="247" t="s">
        <v>70</v>
      </c>
      <c r="AK6" s="597"/>
      <c r="AL6" s="450"/>
      <c r="AM6" s="434"/>
      <c r="AO6" s="249" t="s">
        <v>110</v>
      </c>
      <c r="AP6" s="450"/>
      <c r="AQ6" s="247" t="s">
        <v>70</v>
      </c>
      <c r="AR6" s="597"/>
      <c r="AS6" s="450"/>
      <c r="AT6" s="434"/>
      <c r="AV6" s="249" t="s">
        <v>110</v>
      </c>
      <c r="AW6" s="450"/>
      <c r="AX6" s="247" t="s">
        <v>70</v>
      </c>
      <c r="AY6" s="597"/>
      <c r="AZ6" s="450"/>
      <c r="BA6" s="434"/>
      <c r="BC6" s="249" t="s">
        <v>110</v>
      </c>
      <c r="BD6" s="450"/>
      <c r="BE6" s="247" t="s">
        <v>70</v>
      </c>
      <c r="BF6" s="597"/>
      <c r="BG6" s="450"/>
      <c r="BH6" s="434"/>
      <c r="BJ6" s="249" t="s">
        <v>110</v>
      </c>
      <c r="BK6" s="450"/>
      <c r="BL6" s="247" t="s">
        <v>70</v>
      </c>
      <c r="BM6" s="597"/>
      <c r="BN6" s="450"/>
      <c r="BO6" s="434"/>
      <c r="BQ6" s="249" t="s">
        <v>110</v>
      </c>
      <c r="BR6" s="450"/>
      <c r="BS6" s="247" t="s">
        <v>70</v>
      </c>
      <c r="BT6" s="597"/>
      <c r="BU6" s="450"/>
      <c r="BV6" s="434"/>
      <c r="BX6" s="249" t="s">
        <v>110</v>
      </c>
      <c r="BZ6" s="247" t="s">
        <v>70</v>
      </c>
      <c r="CA6" s="597"/>
      <c r="CB6" s="450"/>
      <c r="CC6" s="434"/>
      <c r="CE6" s="249" t="s">
        <v>110</v>
      </c>
      <c r="CF6" s="450"/>
      <c r="CG6" s="247" t="s">
        <v>70</v>
      </c>
      <c r="CH6" s="597"/>
      <c r="CI6" s="450"/>
      <c r="CJ6" s="434"/>
      <c r="CL6" s="249" t="s">
        <v>110</v>
      </c>
      <c r="CM6" s="450"/>
      <c r="CN6" s="247" t="s">
        <v>70</v>
      </c>
      <c r="CO6" s="597"/>
      <c r="CP6" s="450"/>
      <c r="CQ6" s="434"/>
      <c r="CS6" s="249" t="s">
        <v>110</v>
      </c>
      <c r="CT6" s="450"/>
      <c r="CU6" s="247" t="s">
        <v>70</v>
      </c>
      <c r="CV6" s="597"/>
      <c r="CW6" s="450"/>
      <c r="CX6" s="434"/>
      <c r="CZ6" s="249" t="s">
        <v>110</v>
      </c>
      <c r="DA6" s="450"/>
      <c r="DB6" s="247" t="s">
        <v>70</v>
      </c>
      <c r="DC6" s="597"/>
      <c r="DD6" s="450"/>
      <c r="DE6" s="434"/>
      <c r="DG6" s="249" t="s">
        <v>110</v>
      </c>
      <c r="DH6" s="450"/>
      <c r="DI6" s="247" t="s">
        <v>70</v>
      </c>
      <c r="DJ6" s="597"/>
      <c r="DK6" s="450"/>
      <c r="DL6" s="434"/>
      <c r="DN6" s="249" t="s">
        <v>110</v>
      </c>
      <c r="DO6" s="2"/>
      <c r="DP6" s="247" t="s">
        <v>70</v>
      </c>
      <c r="DQ6" s="597"/>
      <c r="DR6" s="450"/>
      <c r="DS6" s="434"/>
      <c r="DU6" s="249" t="s">
        <v>110</v>
      </c>
      <c r="DV6" s="450"/>
      <c r="DW6" s="247" t="s">
        <v>70</v>
      </c>
      <c r="DX6" s="597"/>
      <c r="DY6" s="450"/>
      <c r="DZ6" s="434"/>
      <c r="EB6" s="249" t="s">
        <v>110</v>
      </c>
      <c r="EC6" s="450"/>
      <c r="ED6" s="247" t="s">
        <v>70</v>
      </c>
      <c r="EE6" s="597"/>
      <c r="EF6" s="450"/>
      <c r="EG6" s="434"/>
      <c r="EI6" s="249" t="s">
        <v>110</v>
      </c>
      <c r="EJ6" s="450"/>
    </row>
    <row r="7" spans="1:187" s="16" customFormat="1" x14ac:dyDescent="0.2">
      <c r="B7" s="19"/>
      <c r="C7" s="332" t="s">
        <v>54</v>
      </c>
      <c r="D7" s="332" t="s">
        <v>55</v>
      </c>
      <c r="E7" s="423" t="s">
        <v>56</v>
      </c>
      <c r="F7" s="424" t="s">
        <v>57</v>
      </c>
      <c r="G7" s="36" t="s">
        <v>58</v>
      </c>
      <c r="I7" s="19"/>
      <c r="J7" s="33" t="s">
        <v>54</v>
      </c>
      <c r="K7" s="33" t="s">
        <v>55</v>
      </c>
      <c r="L7" s="34" t="s">
        <v>56</v>
      </c>
      <c r="M7" s="35" t="s">
        <v>57</v>
      </c>
      <c r="N7" s="36" t="s">
        <v>58</v>
      </c>
      <c r="P7" s="19"/>
      <c r="Q7" s="33" t="s">
        <v>54</v>
      </c>
      <c r="R7" s="33" t="s">
        <v>55</v>
      </c>
      <c r="S7" s="34" t="s">
        <v>56</v>
      </c>
      <c r="T7" s="330" t="s">
        <v>22</v>
      </c>
      <c r="U7" s="36" t="s">
        <v>58</v>
      </c>
      <c r="W7" s="19"/>
      <c r="X7" s="33" t="s">
        <v>54</v>
      </c>
      <c r="Y7" s="33" t="s">
        <v>55</v>
      </c>
      <c r="Z7" s="34" t="s">
        <v>56</v>
      </c>
      <c r="AA7" s="35" t="s">
        <v>57</v>
      </c>
      <c r="AB7" s="36" t="s">
        <v>58</v>
      </c>
      <c r="AD7" s="19"/>
      <c r="AE7" s="33" t="s">
        <v>54</v>
      </c>
      <c r="AF7" s="33" t="s">
        <v>55</v>
      </c>
      <c r="AG7" s="34" t="s">
        <v>56</v>
      </c>
      <c r="AH7" s="35" t="s">
        <v>57</v>
      </c>
      <c r="AI7" s="36" t="s">
        <v>58</v>
      </c>
      <c r="AK7" s="19"/>
      <c r="AL7" s="33" t="s">
        <v>54</v>
      </c>
      <c r="AM7" s="33" t="s">
        <v>55</v>
      </c>
      <c r="AN7" s="34" t="s">
        <v>56</v>
      </c>
      <c r="AO7" s="35" t="s">
        <v>57</v>
      </c>
      <c r="AP7" s="36" t="s">
        <v>58</v>
      </c>
      <c r="AR7" s="19"/>
      <c r="AS7" s="33" t="s">
        <v>54</v>
      </c>
      <c r="AT7" s="33" t="s">
        <v>55</v>
      </c>
      <c r="AU7" s="34" t="s">
        <v>56</v>
      </c>
      <c r="AV7" s="35" t="s">
        <v>57</v>
      </c>
      <c r="AW7" s="36" t="s">
        <v>58</v>
      </c>
      <c r="AY7" s="19"/>
      <c r="AZ7" s="33" t="s">
        <v>54</v>
      </c>
      <c r="BA7" s="33" t="s">
        <v>55</v>
      </c>
      <c r="BB7" s="34" t="s">
        <v>56</v>
      </c>
      <c r="BC7" s="35" t="s">
        <v>57</v>
      </c>
      <c r="BD7" s="36" t="s">
        <v>58</v>
      </c>
      <c r="BF7" s="19"/>
      <c r="BG7" s="33" t="s">
        <v>54</v>
      </c>
      <c r="BH7" s="33" t="s">
        <v>55</v>
      </c>
      <c r="BI7" s="34" t="s">
        <v>56</v>
      </c>
      <c r="BJ7" s="35" t="s">
        <v>57</v>
      </c>
      <c r="BK7" s="36" t="s">
        <v>58</v>
      </c>
      <c r="BM7" s="19"/>
      <c r="BN7" s="33" t="s">
        <v>54</v>
      </c>
      <c r="BO7" s="33" t="s">
        <v>55</v>
      </c>
      <c r="BP7" s="34" t="s">
        <v>56</v>
      </c>
      <c r="BQ7" s="35" t="s">
        <v>57</v>
      </c>
      <c r="BR7" s="36" t="s">
        <v>58</v>
      </c>
      <c r="BT7" s="19"/>
      <c r="BU7" s="33" t="s">
        <v>54</v>
      </c>
      <c r="BV7" s="33" t="s">
        <v>55</v>
      </c>
      <c r="BW7" s="34" t="s">
        <v>56</v>
      </c>
      <c r="BX7" s="35" t="s">
        <v>57</v>
      </c>
      <c r="BY7" s="36" t="s">
        <v>58</v>
      </c>
      <c r="CA7" s="19"/>
      <c r="CB7" s="33" t="s">
        <v>54</v>
      </c>
      <c r="CC7" s="33" t="s">
        <v>55</v>
      </c>
      <c r="CD7" s="34" t="s">
        <v>56</v>
      </c>
      <c r="CE7" s="35" t="s">
        <v>57</v>
      </c>
      <c r="CF7" s="36" t="s">
        <v>58</v>
      </c>
      <c r="CH7" s="19"/>
      <c r="CI7" s="33" t="s">
        <v>54</v>
      </c>
      <c r="CJ7" s="33" t="s">
        <v>55</v>
      </c>
      <c r="CK7" s="34" t="s">
        <v>56</v>
      </c>
      <c r="CL7" s="35" t="s">
        <v>57</v>
      </c>
      <c r="CM7" s="36" t="s">
        <v>58</v>
      </c>
      <c r="CO7" s="19"/>
      <c r="CP7" s="33" t="s">
        <v>54</v>
      </c>
      <c r="CQ7" s="33" t="s">
        <v>55</v>
      </c>
      <c r="CR7" s="34" t="s">
        <v>56</v>
      </c>
      <c r="CS7" s="35" t="s">
        <v>57</v>
      </c>
      <c r="CT7" s="36" t="s">
        <v>58</v>
      </c>
      <c r="CV7" s="19"/>
      <c r="CW7" s="33" t="s">
        <v>54</v>
      </c>
      <c r="CX7" s="33" t="s">
        <v>55</v>
      </c>
      <c r="CY7" s="34" t="s">
        <v>56</v>
      </c>
      <c r="CZ7" s="35" t="s">
        <v>57</v>
      </c>
      <c r="DA7" s="36" t="s">
        <v>58</v>
      </c>
      <c r="DC7" s="19"/>
      <c r="DD7" s="33" t="s">
        <v>54</v>
      </c>
      <c r="DE7" s="33" t="s">
        <v>55</v>
      </c>
      <c r="DF7" s="34" t="s">
        <v>56</v>
      </c>
      <c r="DG7" s="35" t="s">
        <v>57</v>
      </c>
      <c r="DH7" s="36" t="s">
        <v>58</v>
      </c>
      <c r="DJ7" s="19"/>
      <c r="DK7" s="33" t="s">
        <v>54</v>
      </c>
      <c r="DL7" s="33" t="s">
        <v>55</v>
      </c>
      <c r="DM7" s="34" t="s">
        <v>56</v>
      </c>
      <c r="DN7" s="35" t="s">
        <v>57</v>
      </c>
      <c r="DO7" s="36" t="s">
        <v>58</v>
      </c>
      <c r="DQ7" s="19"/>
      <c r="DR7" s="33" t="s">
        <v>54</v>
      </c>
      <c r="DS7" s="33" t="s">
        <v>55</v>
      </c>
      <c r="DT7" s="34" t="s">
        <v>56</v>
      </c>
      <c r="DU7" s="35" t="s">
        <v>57</v>
      </c>
      <c r="DV7" s="36" t="s">
        <v>58</v>
      </c>
      <c r="DX7" s="19"/>
      <c r="DY7" s="33" t="s">
        <v>54</v>
      </c>
      <c r="DZ7" s="33" t="s">
        <v>55</v>
      </c>
      <c r="EA7" s="34" t="s">
        <v>56</v>
      </c>
      <c r="EB7" s="35" t="s">
        <v>57</v>
      </c>
      <c r="EC7" s="36" t="s">
        <v>58</v>
      </c>
      <c r="EE7" s="19"/>
      <c r="EF7" s="33" t="s">
        <v>54</v>
      </c>
      <c r="EG7" s="33" t="s">
        <v>55</v>
      </c>
      <c r="EH7" s="34" t="s">
        <v>56</v>
      </c>
      <c r="EI7" s="35" t="s">
        <v>57</v>
      </c>
      <c r="EJ7" s="36" t="s">
        <v>58</v>
      </c>
    </row>
    <row r="8" spans="1:187" s="52" customFormat="1" ht="15.75" customHeight="1" x14ac:dyDescent="0.2">
      <c r="B8" s="125"/>
      <c r="C8" s="115"/>
      <c r="D8" s="192"/>
      <c r="E8" s="270"/>
      <c r="F8" s="60"/>
      <c r="G8" s="211"/>
      <c r="I8" s="125"/>
      <c r="J8" s="115"/>
      <c r="K8" s="192"/>
      <c r="L8" s="270"/>
      <c r="M8" s="60"/>
      <c r="N8" s="87"/>
      <c r="P8" s="125"/>
      <c r="Q8" s="115"/>
      <c r="R8" s="192"/>
      <c r="S8" s="270"/>
      <c r="T8" s="60"/>
      <c r="U8" s="87"/>
      <c r="W8" s="125"/>
      <c r="X8" s="115"/>
      <c r="Y8" s="192"/>
      <c r="Z8" s="270"/>
      <c r="AA8" s="60"/>
      <c r="AB8" s="87"/>
      <c r="AD8" s="125"/>
      <c r="AE8" s="115"/>
      <c r="AF8" s="192"/>
      <c r="AG8" s="270"/>
      <c r="AH8" s="60"/>
      <c r="AI8" s="87"/>
      <c r="AK8" s="125"/>
      <c r="AL8" s="115"/>
      <c r="AM8" s="192"/>
      <c r="AN8" s="270"/>
      <c r="AO8" s="60"/>
      <c r="AP8" s="87"/>
      <c r="AR8" s="125"/>
      <c r="AS8" s="115"/>
      <c r="AT8" s="192"/>
      <c r="AU8" s="270"/>
      <c r="AV8" s="60"/>
      <c r="AW8" s="87"/>
      <c r="AY8" s="125"/>
      <c r="AZ8" s="115"/>
      <c r="BA8" s="192"/>
      <c r="BB8" s="270"/>
      <c r="BC8" s="60"/>
      <c r="BD8" s="87"/>
      <c r="BF8" s="125"/>
      <c r="BG8" s="115"/>
      <c r="BH8" s="192"/>
      <c r="BI8" s="270"/>
      <c r="BJ8" s="60"/>
      <c r="BK8" s="87"/>
      <c r="BM8" s="125"/>
      <c r="BN8" s="115"/>
      <c r="BO8" s="192"/>
      <c r="BP8" s="270"/>
      <c r="BQ8" s="60"/>
      <c r="BR8" s="87"/>
      <c r="BT8" s="125"/>
      <c r="BU8" s="115"/>
      <c r="BV8" s="192"/>
      <c r="BW8" s="270"/>
      <c r="BX8" s="60"/>
      <c r="BY8" s="87"/>
      <c r="CA8" s="125"/>
      <c r="CB8" s="115"/>
      <c r="CC8" s="192"/>
      <c r="CD8" s="270"/>
      <c r="CE8" s="60"/>
      <c r="CF8" s="87"/>
      <c r="CH8" s="125"/>
      <c r="CI8" s="115"/>
      <c r="CJ8" s="192"/>
      <c r="CK8" s="270"/>
      <c r="CL8" s="60"/>
      <c r="CM8" s="87"/>
      <c r="CO8" s="125"/>
      <c r="CP8" s="115"/>
      <c r="CQ8" s="192"/>
      <c r="CR8" s="270"/>
      <c r="CS8" s="60"/>
      <c r="CT8" s="87"/>
      <c r="CV8" s="125"/>
      <c r="CW8" s="115"/>
      <c r="CX8" s="192"/>
      <c r="CY8" s="270"/>
      <c r="CZ8" s="60"/>
      <c r="DA8" s="211"/>
      <c r="DC8" s="125"/>
      <c r="DD8" s="115"/>
      <c r="DE8" s="192"/>
      <c r="DF8" s="270"/>
      <c r="DG8" s="60"/>
      <c r="DH8" s="211"/>
      <c r="DJ8" s="125"/>
      <c r="DK8" s="115"/>
      <c r="DL8" s="192"/>
      <c r="DM8" s="270"/>
      <c r="DN8" s="60"/>
      <c r="DO8" s="211"/>
      <c r="DQ8" s="125"/>
      <c r="DR8" s="115"/>
      <c r="DS8" s="192"/>
      <c r="DT8" s="270"/>
      <c r="DU8" s="60"/>
      <c r="DV8" s="211"/>
      <c r="DX8" s="125"/>
      <c r="DY8" s="115"/>
      <c r="DZ8" s="192"/>
      <c r="EA8" s="270"/>
      <c r="EB8" s="60"/>
      <c r="EC8" s="211"/>
      <c r="EE8" s="125"/>
      <c r="EF8" s="115"/>
      <c r="EG8" s="192"/>
      <c r="EH8" s="270"/>
      <c r="EI8" s="60"/>
      <c r="EJ8" s="211"/>
    </row>
    <row r="9" spans="1:187" s="125" customFormat="1" ht="15.75" customHeight="1" x14ac:dyDescent="0.2">
      <c r="A9" s="106" t="s">
        <v>259</v>
      </c>
      <c r="B9" s="106" t="str">
        <f>'Standard Vorgaben'!$B$47</f>
        <v>Klasse I</v>
      </c>
      <c r="C9" s="895">
        <f>D9/B5</f>
        <v>0</v>
      </c>
      <c r="D9" s="896">
        <f>G9*D12</f>
        <v>0</v>
      </c>
      <c r="E9" s="867">
        <f>'Standard Vorgaben'!B48</f>
        <v>1.22</v>
      </c>
      <c r="F9" s="239">
        <f>D9*E9</f>
        <v>0</v>
      </c>
      <c r="G9" s="613">
        <f>'Standard Vorgaben'!B76</f>
        <v>0.7</v>
      </c>
      <c r="H9" s="106" t="s">
        <v>259</v>
      </c>
      <c r="I9" s="106" t="str">
        <f>'Standard Vorgaben'!$B$47</f>
        <v>Klasse I</v>
      </c>
      <c r="J9" s="895">
        <f>K9/$B$5</f>
        <v>1.05</v>
      </c>
      <c r="K9" s="896">
        <f>N9*K12</f>
        <v>2100</v>
      </c>
      <c r="L9" s="867">
        <f>'Standard Vorgaben'!B49</f>
        <v>1.22</v>
      </c>
      <c r="M9" s="239">
        <f>K9*L9</f>
        <v>2562</v>
      </c>
      <c r="N9" s="859">
        <f>'Standard Vorgaben'!B77</f>
        <v>0.7</v>
      </c>
      <c r="O9" s="106" t="s">
        <v>259</v>
      </c>
      <c r="P9" s="106" t="str">
        <f>'Standard Vorgaben'!$B$47</f>
        <v>Klasse I</v>
      </c>
      <c r="Q9" s="895">
        <f>R9/$B$5</f>
        <v>1.75</v>
      </c>
      <c r="R9" s="896">
        <f>U9*R12</f>
        <v>3500</v>
      </c>
      <c r="S9" s="867">
        <f>'Standard Vorgaben'!B50</f>
        <v>1.22</v>
      </c>
      <c r="T9" s="239">
        <f>R9*S9</f>
        <v>4270</v>
      </c>
      <c r="U9" s="859">
        <f>'Standard Vorgaben'!B78</f>
        <v>0.7</v>
      </c>
      <c r="V9" s="106" t="s">
        <v>259</v>
      </c>
      <c r="W9" s="106" t="str">
        <f>'Standard Vorgaben'!$B$47</f>
        <v>Klasse I</v>
      </c>
      <c r="X9" s="895">
        <f>Y9/$B$5</f>
        <v>3.5</v>
      </c>
      <c r="Y9" s="896">
        <f>AB9*Y12</f>
        <v>7000</v>
      </c>
      <c r="Z9" s="867">
        <f>'Standard Vorgaben'!B51</f>
        <v>1.22</v>
      </c>
      <c r="AA9" s="239">
        <f>Y9*Z9</f>
        <v>8540</v>
      </c>
      <c r="AB9" s="859">
        <f>'Standard Vorgaben'!B79</f>
        <v>0.7</v>
      </c>
      <c r="AC9" s="106" t="s">
        <v>259</v>
      </c>
      <c r="AD9" s="106" t="str">
        <f>'Standard Vorgaben'!$B$47</f>
        <v>Klasse I</v>
      </c>
      <c r="AE9" s="895">
        <f>AF9/$B$5</f>
        <v>7</v>
      </c>
      <c r="AF9" s="896">
        <f>AI9*AF12</f>
        <v>14000</v>
      </c>
      <c r="AG9" s="867">
        <f>'Standard Vorgaben'!B52</f>
        <v>1.22</v>
      </c>
      <c r="AH9" s="239">
        <f>AF9*AG9</f>
        <v>17080</v>
      </c>
      <c r="AI9" s="859">
        <f>'Standard Vorgaben'!B80</f>
        <v>0.7</v>
      </c>
      <c r="AJ9" s="106" t="s">
        <v>259</v>
      </c>
      <c r="AK9" s="106" t="str">
        <f>'Standard Vorgaben'!$B$47</f>
        <v>Klasse I</v>
      </c>
      <c r="AL9" s="895">
        <f>AM9/$B$5</f>
        <v>11.2</v>
      </c>
      <c r="AM9" s="896">
        <f>AP9*AM12</f>
        <v>22400</v>
      </c>
      <c r="AN9" s="867">
        <f>'Standard Vorgaben'!B53</f>
        <v>1.22</v>
      </c>
      <c r="AO9" s="239">
        <f>AM9*AN9</f>
        <v>27328</v>
      </c>
      <c r="AP9" s="859">
        <f>'Standard Vorgaben'!B81</f>
        <v>0.7</v>
      </c>
      <c r="AQ9" s="106" t="s">
        <v>259</v>
      </c>
      <c r="AR9" s="106" t="str">
        <f>'Standard Vorgaben'!$B$47</f>
        <v>Klasse I</v>
      </c>
      <c r="AS9" s="895">
        <f>AT9/$B$5</f>
        <v>11.2</v>
      </c>
      <c r="AT9" s="896">
        <f>AW9*AT12</f>
        <v>22400</v>
      </c>
      <c r="AU9" s="867">
        <f>'Standard Vorgaben'!B54</f>
        <v>1.22</v>
      </c>
      <c r="AV9" s="239">
        <f>AT9*AU9</f>
        <v>27328</v>
      </c>
      <c r="AW9" s="859">
        <f>'Standard Vorgaben'!B82</f>
        <v>0.7</v>
      </c>
      <c r="AX9" s="106" t="s">
        <v>259</v>
      </c>
      <c r="AY9" s="106" t="str">
        <f>'Standard Vorgaben'!$B$47</f>
        <v>Klasse I</v>
      </c>
      <c r="AZ9" s="895">
        <f>BA9/$B$5</f>
        <v>11.2</v>
      </c>
      <c r="BA9" s="896">
        <f>BD9*BA12</f>
        <v>22400</v>
      </c>
      <c r="BB9" s="867">
        <f>'Standard Vorgaben'!B55</f>
        <v>1.22</v>
      </c>
      <c r="BC9" s="239">
        <f>BA9*BB9</f>
        <v>27328</v>
      </c>
      <c r="BD9" s="859">
        <f>'Standard Vorgaben'!B83</f>
        <v>0.7</v>
      </c>
      <c r="BE9" s="106" t="s">
        <v>259</v>
      </c>
      <c r="BF9" s="106" t="str">
        <f>'Standard Vorgaben'!$B$47</f>
        <v>Klasse I</v>
      </c>
      <c r="BG9" s="895">
        <f>BH9/$B$5</f>
        <v>11.2</v>
      </c>
      <c r="BH9" s="896">
        <f>BK9*BH12</f>
        <v>22400</v>
      </c>
      <c r="BI9" s="867">
        <f>'Standard Vorgaben'!B56</f>
        <v>1.22</v>
      </c>
      <c r="BJ9" s="239">
        <f>BH9*BI9</f>
        <v>27328</v>
      </c>
      <c r="BK9" s="859">
        <f>'Standard Vorgaben'!B83</f>
        <v>0.7</v>
      </c>
      <c r="BL9" s="106" t="s">
        <v>259</v>
      </c>
      <c r="BM9" s="106" t="str">
        <f>'Standard Vorgaben'!$B$47</f>
        <v>Klasse I</v>
      </c>
      <c r="BN9" s="895">
        <f>BO9/$B$5</f>
        <v>11.2</v>
      </c>
      <c r="BO9" s="896">
        <f>BR9*BO12</f>
        <v>22400</v>
      </c>
      <c r="BP9" s="867">
        <f>'Standard Vorgaben'!B57</f>
        <v>1.22</v>
      </c>
      <c r="BQ9" s="239">
        <f>BO9*BP9</f>
        <v>27328</v>
      </c>
      <c r="BR9" s="859">
        <f>'Standard Vorgaben'!B85</f>
        <v>0.7</v>
      </c>
      <c r="BS9" s="106" t="s">
        <v>259</v>
      </c>
      <c r="BT9" s="106" t="str">
        <f>'Standard Vorgaben'!$B$47</f>
        <v>Klasse I</v>
      </c>
      <c r="BU9" s="895">
        <f>BV9/$B$5</f>
        <v>11.2</v>
      </c>
      <c r="BV9" s="896">
        <f>BY9*BV12</f>
        <v>22400</v>
      </c>
      <c r="BW9" s="867">
        <f>'Standard Vorgaben'!B58</f>
        <v>1.22</v>
      </c>
      <c r="BX9" s="239">
        <f>BV9*BW9</f>
        <v>27328</v>
      </c>
      <c r="BY9" s="859">
        <f>'Standard Vorgaben'!B86</f>
        <v>0.7</v>
      </c>
      <c r="BZ9" s="106" t="s">
        <v>259</v>
      </c>
      <c r="CA9" s="106" t="str">
        <f>'Standard Vorgaben'!$B$47</f>
        <v>Klasse I</v>
      </c>
      <c r="CB9" s="895">
        <f>CC9/$B$5</f>
        <v>11.2</v>
      </c>
      <c r="CC9" s="896">
        <f>CF9*CC12</f>
        <v>22400</v>
      </c>
      <c r="CD9" s="867">
        <f>'Standard Vorgaben'!B59</f>
        <v>1.22</v>
      </c>
      <c r="CE9" s="239">
        <f>CC9*CD9</f>
        <v>27328</v>
      </c>
      <c r="CF9" s="859">
        <f>'Standard Vorgaben'!B87</f>
        <v>0.7</v>
      </c>
      <c r="CG9" s="106" t="s">
        <v>259</v>
      </c>
      <c r="CH9" s="106" t="str">
        <f>'Standard Vorgaben'!$B$47</f>
        <v>Klasse I</v>
      </c>
      <c r="CI9" s="895">
        <f>CJ9/$B$5</f>
        <v>11.2</v>
      </c>
      <c r="CJ9" s="896">
        <f>CM9*CJ12</f>
        <v>22400</v>
      </c>
      <c r="CK9" s="867">
        <f>'Standard Vorgaben'!B60</f>
        <v>1.22</v>
      </c>
      <c r="CL9" s="239">
        <f>CJ9*CK9</f>
        <v>27328</v>
      </c>
      <c r="CM9" s="859">
        <f>'Standard Vorgaben'!B88</f>
        <v>0.7</v>
      </c>
      <c r="CN9" s="106" t="s">
        <v>259</v>
      </c>
      <c r="CO9" s="106" t="str">
        <f>'Standard Vorgaben'!$B$47</f>
        <v>Klasse I</v>
      </c>
      <c r="CP9" s="895">
        <f>CQ9/$B$5</f>
        <v>11.2</v>
      </c>
      <c r="CQ9" s="896">
        <f>CT9*CQ12</f>
        <v>22400</v>
      </c>
      <c r="CR9" s="867">
        <f>'Standard Vorgaben'!B61</f>
        <v>1.22</v>
      </c>
      <c r="CS9" s="239">
        <f>CQ9*CR9</f>
        <v>27328</v>
      </c>
      <c r="CT9" s="859">
        <f>'Standard Vorgaben'!B89</f>
        <v>0.7</v>
      </c>
      <c r="CU9" s="106" t="s">
        <v>259</v>
      </c>
      <c r="CV9" s="106" t="str">
        <f>'Standard Vorgaben'!$B$47</f>
        <v>Klasse I</v>
      </c>
      <c r="CW9" s="895">
        <f>CX9/$B$5</f>
        <v>11.2</v>
      </c>
      <c r="CX9" s="896">
        <f>DA9*CX12</f>
        <v>22400</v>
      </c>
      <c r="CY9" s="867">
        <f>'Standard Vorgaben'!B62</f>
        <v>1.22</v>
      </c>
      <c r="CZ9" s="239">
        <f>CX9*CY9</f>
        <v>27328</v>
      </c>
      <c r="DA9" s="613">
        <f>'Standard Vorgaben'!B90</f>
        <v>0.7</v>
      </c>
      <c r="DB9" s="106" t="s">
        <v>259</v>
      </c>
      <c r="DC9" s="106" t="str">
        <f>'Standard Vorgaben'!$B$47</f>
        <v>Klasse I</v>
      </c>
      <c r="DD9" s="895">
        <f>DE9/$B$5</f>
        <v>11.2</v>
      </c>
      <c r="DE9" s="896">
        <f>DH9*DE12</f>
        <v>22400</v>
      </c>
      <c r="DF9" s="867">
        <f>'Standard Vorgaben'!B63</f>
        <v>1.22</v>
      </c>
      <c r="DG9" s="239">
        <f>DE9*DF9</f>
        <v>27328</v>
      </c>
      <c r="DH9" s="613">
        <f>'Standard Vorgaben'!B91</f>
        <v>0.7</v>
      </c>
      <c r="DI9" s="106" t="s">
        <v>259</v>
      </c>
      <c r="DJ9" s="106" t="str">
        <f>'Standard Vorgaben'!$B$47</f>
        <v>Klasse I</v>
      </c>
      <c r="DK9" s="895">
        <f>DL9/$B$5</f>
        <v>11.2</v>
      </c>
      <c r="DL9" s="896">
        <f>DO9*DL12</f>
        <v>22400</v>
      </c>
      <c r="DM9" s="867">
        <f>'Standard Vorgaben'!B64</f>
        <v>1.22</v>
      </c>
      <c r="DN9" s="239">
        <f>DL9*DM9</f>
        <v>27328</v>
      </c>
      <c r="DO9" s="613">
        <f>'Standard Vorgaben'!B92</f>
        <v>0.7</v>
      </c>
      <c r="DP9" s="106" t="s">
        <v>259</v>
      </c>
      <c r="DQ9" s="106" t="str">
        <f>'Standard Vorgaben'!$B$47</f>
        <v>Klasse I</v>
      </c>
      <c r="DR9" s="895">
        <f>DS9/$B$5</f>
        <v>11.2</v>
      </c>
      <c r="DS9" s="896">
        <f>DV9*DS12</f>
        <v>22400</v>
      </c>
      <c r="DT9" s="867">
        <f>'Standard Vorgaben'!B65</f>
        <v>1.22</v>
      </c>
      <c r="DU9" s="239">
        <f>DS9*DT9</f>
        <v>27328</v>
      </c>
      <c r="DV9" s="613">
        <f>'Standard Vorgaben'!B93</f>
        <v>0.7</v>
      </c>
      <c r="DW9" s="106" t="s">
        <v>259</v>
      </c>
      <c r="DX9" s="106" t="str">
        <f>'Standard Vorgaben'!$B$47</f>
        <v>Klasse I</v>
      </c>
      <c r="DY9" s="895">
        <f>DZ9/$B$5</f>
        <v>11.2</v>
      </c>
      <c r="DZ9" s="896">
        <f>EC9*DZ12</f>
        <v>22400</v>
      </c>
      <c r="EA9" s="867">
        <f>'Standard Vorgaben'!B66</f>
        <v>1.22</v>
      </c>
      <c r="EB9" s="239">
        <f>DZ9*EA9</f>
        <v>27328</v>
      </c>
      <c r="EC9" s="613">
        <f>'Standard Vorgaben'!B94</f>
        <v>0.7</v>
      </c>
      <c r="ED9" s="106" t="s">
        <v>259</v>
      </c>
      <c r="EE9" s="106" t="str">
        <f>'Standard Vorgaben'!$B$47</f>
        <v>Klasse I</v>
      </c>
      <c r="EF9" s="895">
        <f>EG9/$B$5</f>
        <v>11.2</v>
      </c>
      <c r="EG9" s="896">
        <f>EJ9*EG12</f>
        <v>22400</v>
      </c>
      <c r="EH9" s="867">
        <f>'Standard Vorgaben'!B67</f>
        <v>1.22</v>
      </c>
      <c r="EI9" s="239">
        <f>EG9*EH9</f>
        <v>27328</v>
      </c>
      <c r="EJ9" s="613">
        <f>'Standard Vorgaben'!B95</f>
        <v>0.7</v>
      </c>
    </row>
    <row r="10" spans="1:187" s="125" customFormat="1" ht="13.5" customHeight="1" x14ac:dyDescent="0.2">
      <c r="B10" s="106" t="str">
        <f>'Standard Vorgaben'!$C$47</f>
        <v>Klasse II</v>
      </c>
      <c r="C10" s="895">
        <f>D10/B5</f>
        <v>0</v>
      </c>
      <c r="D10" s="896">
        <f>G10*D12</f>
        <v>0</v>
      </c>
      <c r="E10" s="867">
        <f>'Standard Vorgaben'!C48</f>
        <v>0.4</v>
      </c>
      <c r="F10" s="239">
        <f>D10*E10</f>
        <v>0</v>
      </c>
      <c r="G10" s="613">
        <f>'Standard Vorgaben'!C76</f>
        <v>0.05</v>
      </c>
      <c r="I10" s="106" t="str">
        <f>'Standard Vorgaben'!$C$47</f>
        <v>Klasse II</v>
      </c>
      <c r="J10" s="895">
        <f>K10/$B$5</f>
        <v>7.4999999999999997E-2</v>
      </c>
      <c r="K10" s="896">
        <f>N10*K12</f>
        <v>150</v>
      </c>
      <c r="L10" s="867">
        <f>'Standard Vorgaben'!C49</f>
        <v>0.4</v>
      </c>
      <c r="M10" s="239">
        <f>K10*L10</f>
        <v>60</v>
      </c>
      <c r="N10" s="859">
        <f>'Standard Vorgaben'!C77</f>
        <v>0.05</v>
      </c>
      <c r="P10" s="106" t="str">
        <f>'Standard Vorgaben'!$C$47</f>
        <v>Klasse II</v>
      </c>
      <c r="Q10" s="895">
        <f>R10/$B$5</f>
        <v>0.125</v>
      </c>
      <c r="R10" s="896">
        <f>U10*R12</f>
        <v>250</v>
      </c>
      <c r="S10" s="867">
        <f>'Standard Vorgaben'!C50</f>
        <v>0.4</v>
      </c>
      <c r="T10" s="239">
        <f>R10*S10</f>
        <v>100</v>
      </c>
      <c r="U10" s="859">
        <f>'Standard Vorgaben'!C78</f>
        <v>0.05</v>
      </c>
      <c r="W10" s="106" t="str">
        <f>'Standard Vorgaben'!$C$47</f>
        <v>Klasse II</v>
      </c>
      <c r="X10" s="895">
        <f>Y10/$B$5</f>
        <v>0.25</v>
      </c>
      <c r="Y10" s="896">
        <f>AB10*Y12</f>
        <v>500</v>
      </c>
      <c r="Z10" s="867">
        <f>'Standard Vorgaben'!C51</f>
        <v>0.4</v>
      </c>
      <c r="AA10" s="239">
        <f>Y10*Z10</f>
        <v>200</v>
      </c>
      <c r="AB10" s="859">
        <f>'Standard Vorgaben'!C79</f>
        <v>0.05</v>
      </c>
      <c r="AD10" s="106" t="str">
        <f>'Standard Vorgaben'!$C$47</f>
        <v>Klasse II</v>
      </c>
      <c r="AE10" s="895">
        <f>AF10/$B$5</f>
        <v>0.5</v>
      </c>
      <c r="AF10" s="896">
        <f>AI10*AF12</f>
        <v>1000</v>
      </c>
      <c r="AG10" s="867">
        <f>'Standard Vorgaben'!C52</f>
        <v>0.4</v>
      </c>
      <c r="AH10" s="239">
        <f>AF10*AG10</f>
        <v>400</v>
      </c>
      <c r="AI10" s="859">
        <f>'Standard Vorgaben'!C80</f>
        <v>0.05</v>
      </c>
      <c r="AK10" s="106" t="str">
        <f>'Standard Vorgaben'!$C$47</f>
        <v>Klasse II</v>
      </c>
      <c r="AL10" s="895">
        <f>AM10/$B$5</f>
        <v>0.8</v>
      </c>
      <c r="AM10" s="896">
        <f>AP10*AM12</f>
        <v>1600</v>
      </c>
      <c r="AN10" s="867">
        <f>'Standard Vorgaben'!C53</f>
        <v>0.4</v>
      </c>
      <c r="AO10" s="239">
        <f>AM10*AN10</f>
        <v>640</v>
      </c>
      <c r="AP10" s="859">
        <f>'Standard Vorgaben'!C81</f>
        <v>0.05</v>
      </c>
      <c r="AR10" s="106" t="str">
        <f>'Standard Vorgaben'!$C$47</f>
        <v>Klasse II</v>
      </c>
      <c r="AS10" s="895">
        <f>AT10/$B$5</f>
        <v>0.8</v>
      </c>
      <c r="AT10" s="896">
        <f>AW10*AT12</f>
        <v>1600</v>
      </c>
      <c r="AU10" s="867">
        <f>'Standard Vorgaben'!C54</f>
        <v>0.4</v>
      </c>
      <c r="AV10" s="239">
        <f>AT10*AU10</f>
        <v>640</v>
      </c>
      <c r="AW10" s="859">
        <f>'Standard Vorgaben'!C82</f>
        <v>0.05</v>
      </c>
      <c r="AY10" s="106" t="str">
        <f>'Standard Vorgaben'!$C$47</f>
        <v>Klasse II</v>
      </c>
      <c r="AZ10" s="895">
        <f>BA10/$B$5</f>
        <v>0.8</v>
      </c>
      <c r="BA10" s="896">
        <f>BD10*BA12</f>
        <v>1600</v>
      </c>
      <c r="BB10" s="867">
        <f>'Standard Vorgaben'!C55</f>
        <v>0.4</v>
      </c>
      <c r="BC10" s="239">
        <f>BA10*BB10</f>
        <v>640</v>
      </c>
      <c r="BD10" s="859">
        <f>'Standard Vorgaben'!C83</f>
        <v>0.05</v>
      </c>
      <c r="BF10" s="106" t="str">
        <f>'Standard Vorgaben'!$C$47</f>
        <v>Klasse II</v>
      </c>
      <c r="BG10" s="895">
        <f>BH10/$B$5</f>
        <v>0.8</v>
      </c>
      <c r="BH10" s="896">
        <f>BK10*BH12</f>
        <v>1600</v>
      </c>
      <c r="BI10" s="867">
        <f>'Standard Vorgaben'!C56</f>
        <v>0.4</v>
      </c>
      <c r="BJ10" s="239">
        <f>BH10*BI10</f>
        <v>640</v>
      </c>
      <c r="BK10" s="859">
        <f>'Standard Vorgaben'!C84</f>
        <v>0.05</v>
      </c>
      <c r="BM10" s="106" t="str">
        <f>'Standard Vorgaben'!$C$47</f>
        <v>Klasse II</v>
      </c>
      <c r="BN10" s="895">
        <f>BO10/$B$5</f>
        <v>0.8</v>
      </c>
      <c r="BO10" s="896">
        <f>BR10*BO12</f>
        <v>1600</v>
      </c>
      <c r="BP10" s="867">
        <f>'Standard Vorgaben'!C57</f>
        <v>0.4</v>
      </c>
      <c r="BQ10" s="239">
        <f>BO10*BP10</f>
        <v>640</v>
      </c>
      <c r="BR10" s="859">
        <f>'Standard Vorgaben'!C85</f>
        <v>0.05</v>
      </c>
      <c r="BT10" s="106" t="str">
        <f>'Standard Vorgaben'!$C$47</f>
        <v>Klasse II</v>
      </c>
      <c r="BU10" s="895">
        <f>BV10/$B$5</f>
        <v>0.8</v>
      </c>
      <c r="BV10" s="896">
        <f>BY10*BV12</f>
        <v>1600</v>
      </c>
      <c r="BW10" s="867">
        <f>'Standard Vorgaben'!C57</f>
        <v>0.4</v>
      </c>
      <c r="BX10" s="239">
        <f>BV10*BW10</f>
        <v>640</v>
      </c>
      <c r="BY10" s="859">
        <f>'Standard Vorgaben'!C86</f>
        <v>0.05</v>
      </c>
      <c r="CA10" s="106" t="str">
        <f>'Standard Vorgaben'!$C$47</f>
        <v>Klasse II</v>
      </c>
      <c r="CB10" s="895">
        <f>CC10/$B$5</f>
        <v>0.8</v>
      </c>
      <c r="CC10" s="896">
        <f>CF10*CC12</f>
        <v>1600</v>
      </c>
      <c r="CD10" s="867">
        <f>'Standard Vorgaben'!C59</f>
        <v>0.4</v>
      </c>
      <c r="CE10" s="239">
        <f>CC10*CD10</f>
        <v>640</v>
      </c>
      <c r="CF10" s="859">
        <f>'Standard Vorgaben'!C87</f>
        <v>0.05</v>
      </c>
      <c r="CH10" s="106" t="str">
        <f>'Standard Vorgaben'!$C$47</f>
        <v>Klasse II</v>
      </c>
      <c r="CI10" s="895">
        <f>CJ10/$B$5</f>
        <v>0.8</v>
      </c>
      <c r="CJ10" s="896">
        <f>CM10*CJ12</f>
        <v>1600</v>
      </c>
      <c r="CK10" s="867">
        <f>'Standard Vorgaben'!C60</f>
        <v>0.4</v>
      </c>
      <c r="CL10" s="239">
        <f>CJ10*CK10</f>
        <v>640</v>
      </c>
      <c r="CM10" s="859">
        <f>'Standard Vorgaben'!C88</f>
        <v>0.05</v>
      </c>
      <c r="CO10" s="106" t="str">
        <f>'Standard Vorgaben'!$C$47</f>
        <v>Klasse II</v>
      </c>
      <c r="CP10" s="895">
        <f>CQ10/$B$5</f>
        <v>0.8</v>
      </c>
      <c r="CQ10" s="896">
        <f>CT10*CQ12</f>
        <v>1600</v>
      </c>
      <c r="CR10" s="867">
        <f>'Standard Vorgaben'!C61</f>
        <v>0.4</v>
      </c>
      <c r="CS10" s="239">
        <f>CQ10*CR10</f>
        <v>640</v>
      </c>
      <c r="CT10" s="859">
        <f>'Standard Vorgaben'!C89</f>
        <v>0.05</v>
      </c>
      <c r="CV10" s="106" t="str">
        <f>'Standard Vorgaben'!$C$47</f>
        <v>Klasse II</v>
      </c>
      <c r="CW10" s="895">
        <f>CX10/$B$5</f>
        <v>0.8</v>
      </c>
      <c r="CX10" s="896">
        <f>DA10*CX12</f>
        <v>1600</v>
      </c>
      <c r="CY10" s="867">
        <f>'Standard Vorgaben'!C62</f>
        <v>0.4</v>
      </c>
      <c r="CZ10" s="239">
        <f>CX10*CY10</f>
        <v>640</v>
      </c>
      <c r="DA10" s="613">
        <f>'Standard Vorgaben'!C90</f>
        <v>0.05</v>
      </c>
      <c r="DC10" s="106" t="str">
        <f>'Standard Vorgaben'!$C$47</f>
        <v>Klasse II</v>
      </c>
      <c r="DD10" s="895">
        <f>DE10/$B$5</f>
        <v>0.8</v>
      </c>
      <c r="DE10" s="896">
        <f>DH10*DE12</f>
        <v>1600</v>
      </c>
      <c r="DF10" s="867">
        <f>'Standard Vorgaben'!C63</f>
        <v>0.4</v>
      </c>
      <c r="DG10" s="239">
        <f>DE10*DF10</f>
        <v>640</v>
      </c>
      <c r="DH10" s="613">
        <f>'Standard Vorgaben'!C91</f>
        <v>0.05</v>
      </c>
      <c r="DJ10" s="106" t="str">
        <f>'Standard Vorgaben'!$C$47</f>
        <v>Klasse II</v>
      </c>
      <c r="DK10" s="895">
        <f>DL10/$B$5</f>
        <v>0.8</v>
      </c>
      <c r="DL10" s="896">
        <f>DO10*DL12</f>
        <v>1600</v>
      </c>
      <c r="DM10" s="867">
        <f>'Standard Vorgaben'!C64</f>
        <v>0.4</v>
      </c>
      <c r="DN10" s="239">
        <f>DL10*DM10</f>
        <v>640</v>
      </c>
      <c r="DO10" s="613">
        <f>'Standard Vorgaben'!C92</f>
        <v>0.05</v>
      </c>
      <c r="DQ10" s="106" t="str">
        <f>'Standard Vorgaben'!$C$47</f>
        <v>Klasse II</v>
      </c>
      <c r="DR10" s="895">
        <f>DS10/$B$5</f>
        <v>0.8</v>
      </c>
      <c r="DS10" s="896">
        <f>DV10*DS12</f>
        <v>1600</v>
      </c>
      <c r="DT10" s="867">
        <f>'Standard Vorgaben'!C65</f>
        <v>0.4</v>
      </c>
      <c r="DU10" s="239">
        <f>DS10*DT10</f>
        <v>640</v>
      </c>
      <c r="DV10" s="613">
        <f>'Standard Vorgaben'!C93</f>
        <v>0.05</v>
      </c>
      <c r="DX10" s="106" t="str">
        <f>'Standard Vorgaben'!$C$47</f>
        <v>Klasse II</v>
      </c>
      <c r="DY10" s="895">
        <f>DZ10/$B$5</f>
        <v>0.8</v>
      </c>
      <c r="DZ10" s="896">
        <f>EC10*DZ12</f>
        <v>1600</v>
      </c>
      <c r="EA10" s="867">
        <f>'Standard Vorgaben'!C66</f>
        <v>0.4</v>
      </c>
      <c r="EB10" s="239">
        <f>DZ10*EA10</f>
        <v>640</v>
      </c>
      <c r="EC10" s="613">
        <f>'Standard Vorgaben'!C94</f>
        <v>0.05</v>
      </c>
      <c r="EE10" s="106" t="str">
        <f>'Standard Vorgaben'!$C$47</f>
        <v>Klasse II</v>
      </c>
      <c r="EF10" s="895">
        <f>EG10/$B$5</f>
        <v>0.8</v>
      </c>
      <c r="EG10" s="896">
        <f>EJ10*EG12</f>
        <v>1600</v>
      </c>
      <c r="EH10" s="867">
        <f>'Standard Vorgaben'!C67</f>
        <v>0.4</v>
      </c>
      <c r="EI10" s="239">
        <f>EG10*EH10</f>
        <v>640</v>
      </c>
      <c r="EJ10" s="613">
        <f>'Standard Vorgaben'!C95</f>
        <v>0.05</v>
      </c>
    </row>
    <row r="11" spans="1:187" s="125" customFormat="1" ht="13.5" customHeight="1" x14ac:dyDescent="0.2">
      <c r="B11" s="125" t="str">
        <f>'Standard Vorgaben'!$D$47</f>
        <v>Mostobst total</v>
      </c>
      <c r="C11" s="897">
        <f>D11/$B$5</f>
        <v>0</v>
      </c>
      <c r="D11" s="898">
        <f>D12*G11</f>
        <v>0</v>
      </c>
      <c r="E11" s="899">
        <f>'Standard Vorgaben'!D48</f>
        <v>0</v>
      </c>
      <c r="F11" s="228">
        <f>D11*E11</f>
        <v>0</v>
      </c>
      <c r="G11" s="613">
        <f>'Standard Vorgaben'!F76</f>
        <v>0.25</v>
      </c>
      <c r="I11" s="125" t="str">
        <f>'Standard Vorgaben'!$D$47</f>
        <v>Mostobst total</v>
      </c>
      <c r="J11" s="897">
        <f>K11/$B$5</f>
        <v>0.375</v>
      </c>
      <c r="K11" s="898">
        <f>K12*N11</f>
        <v>750</v>
      </c>
      <c r="L11" s="899">
        <f>'Standard Vorgaben'!D49</f>
        <v>0</v>
      </c>
      <c r="M11" s="228">
        <f>K11*L11</f>
        <v>0</v>
      </c>
      <c r="N11" s="859">
        <f>'Standard Vorgaben'!F77</f>
        <v>0.25</v>
      </c>
      <c r="P11" s="125" t="str">
        <f>'Standard Vorgaben'!$D$47</f>
        <v>Mostobst total</v>
      </c>
      <c r="Q11" s="897">
        <f>R11/$B$5</f>
        <v>0.625</v>
      </c>
      <c r="R11" s="898">
        <f>R12*U11</f>
        <v>1250</v>
      </c>
      <c r="S11" s="899">
        <f>'Standard Vorgaben'!D50</f>
        <v>0</v>
      </c>
      <c r="T11" s="228">
        <f>R11*S11</f>
        <v>0</v>
      </c>
      <c r="U11" s="859">
        <f>'Standard Vorgaben'!F78</f>
        <v>0.25</v>
      </c>
      <c r="W11" s="125" t="str">
        <f>'Standard Vorgaben'!$D$47</f>
        <v>Mostobst total</v>
      </c>
      <c r="X11" s="897">
        <f>Y11/$B$5</f>
        <v>1.25</v>
      </c>
      <c r="Y11" s="898">
        <f>Y12*AB11</f>
        <v>2500</v>
      </c>
      <c r="Z11" s="899">
        <f>'Standard Vorgaben'!D51</f>
        <v>0</v>
      </c>
      <c r="AA11" s="228">
        <f>Y11*Z11</f>
        <v>0</v>
      </c>
      <c r="AB11" s="859">
        <f>'Standard Vorgaben'!F79</f>
        <v>0.25</v>
      </c>
      <c r="AD11" s="125" t="str">
        <f>'Standard Vorgaben'!$D$47</f>
        <v>Mostobst total</v>
      </c>
      <c r="AE11" s="897">
        <f>AF11/$B$5</f>
        <v>2.5</v>
      </c>
      <c r="AF11" s="898">
        <f>AF12*AI11</f>
        <v>5000</v>
      </c>
      <c r="AG11" s="899">
        <f>'Standard Vorgaben'!D52</f>
        <v>0</v>
      </c>
      <c r="AH11" s="228">
        <f>AF11*AG11</f>
        <v>0</v>
      </c>
      <c r="AI11" s="859">
        <f>'Standard Vorgaben'!F80</f>
        <v>0.25</v>
      </c>
      <c r="AK11" s="125" t="str">
        <f>'Standard Vorgaben'!$D$47</f>
        <v>Mostobst total</v>
      </c>
      <c r="AL11" s="897">
        <f>AM11/$B$5</f>
        <v>4</v>
      </c>
      <c r="AM11" s="898">
        <f>AM12*AP11</f>
        <v>8000</v>
      </c>
      <c r="AN11" s="899">
        <f>'Standard Vorgaben'!D53</f>
        <v>0</v>
      </c>
      <c r="AO11" s="228">
        <f>AM11*AN11</f>
        <v>0</v>
      </c>
      <c r="AP11" s="859">
        <f>'Standard Vorgaben'!F81</f>
        <v>0.25</v>
      </c>
      <c r="AR11" s="125" t="str">
        <f>'Standard Vorgaben'!$D$47</f>
        <v>Mostobst total</v>
      </c>
      <c r="AS11" s="897">
        <f>AT11/$B$5</f>
        <v>4</v>
      </c>
      <c r="AT11" s="898">
        <f>AT12*AW11</f>
        <v>8000</v>
      </c>
      <c r="AU11" s="899">
        <f>'Standard Vorgaben'!D54</f>
        <v>0</v>
      </c>
      <c r="AV11" s="228">
        <f>AT11*AU11</f>
        <v>0</v>
      </c>
      <c r="AW11" s="859">
        <f>'Standard Vorgaben'!F82</f>
        <v>0.25</v>
      </c>
      <c r="AY11" s="125" t="str">
        <f>'Standard Vorgaben'!$D$47</f>
        <v>Mostobst total</v>
      </c>
      <c r="AZ11" s="897">
        <f>BA11/$B$5</f>
        <v>4</v>
      </c>
      <c r="BA11" s="898">
        <f>BA12*BD11</f>
        <v>8000</v>
      </c>
      <c r="BB11" s="899">
        <f>'Standard Vorgaben'!D55</f>
        <v>0</v>
      </c>
      <c r="BC11" s="228">
        <f>BA11*BB11</f>
        <v>0</v>
      </c>
      <c r="BD11" s="859">
        <f>'Standard Vorgaben'!F83</f>
        <v>0.25</v>
      </c>
      <c r="BF11" s="125" t="str">
        <f>'Standard Vorgaben'!$D$47</f>
        <v>Mostobst total</v>
      </c>
      <c r="BG11" s="897">
        <f>BH11/$B$5</f>
        <v>4</v>
      </c>
      <c r="BH11" s="898">
        <f>BH12*BK11</f>
        <v>8000</v>
      </c>
      <c r="BI11" s="899">
        <f>'Standard Vorgaben'!D56</f>
        <v>0</v>
      </c>
      <c r="BJ11" s="228">
        <f>BH11*BI11</f>
        <v>0</v>
      </c>
      <c r="BK11" s="859">
        <f>'Standard Vorgaben'!F84</f>
        <v>0.25</v>
      </c>
      <c r="BM11" s="125" t="str">
        <f>'Standard Vorgaben'!$D$47</f>
        <v>Mostobst total</v>
      </c>
      <c r="BN11" s="897">
        <f>BO11/$B$5</f>
        <v>4</v>
      </c>
      <c r="BO11" s="898">
        <f>BO12*BR11</f>
        <v>8000</v>
      </c>
      <c r="BP11" s="899">
        <f>'Standard Vorgaben'!D57</f>
        <v>0</v>
      </c>
      <c r="BQ11" s="228">
        <f>BO11*BP11</f>
        <v>0</v>
      </c>
      <c r="BR11" s="859">
        <f>'Standard Vorgaben'!F85</f>
        <v>0.25</v>
      </c>
      <c r="BT11" s="125" t="str">
        <f>'Standard Vorgaben'!$D$47</f>
        <v>Mostobst total</v>
      </c>
      <c r="BU11" s="897">
        <f>BV11/$B$5</f>
        <v>4</v>
      </c>
      <c r="BV11" s="898">
        <f>BV12*BY11</f>
        <v>8000</v>
      </c>
      <c r="BW11" s="899">
        <f>'Standard Vorgaben'!D58</f>
        <v>0</v>
      </c>
      <c r="BX11" s="228">
        <f>BV11*BW11</f>
        <v>0</v>
      </c>
      <c r="BY11" s="859">
        <f>'Standard Vorgaben'!F86</f>
        <v>0.25</v>
      </c>
      <c r="CA11" s="125" t="str">
        <f>'Standard Vorgaben'!$D$47</f>
        <v>Mostobst total</v>
      </c>
      <c r="CB11" s="897">
        <f>CC11/$B$5</f>
        <v>4</v>
      </c>
      <c r="CC11" s="898">
        <f>CC12*CF11</f>
        <v>8000</v>
      </c>
      <c r="CD11" s="899">
        <f>'Standard Vorgaben'!D59</f>
        <v>0</v>
      </c>
      <c r="CE11" s="228">
        <f>CC11*CD11</f>
        <v>0</v>
      </c>
      <c r="CF11" s="859">
        <f>'Standard Vorgaben'!F87</f>
        <v>0.25</v>
      </c>
      <c r="CH11" s="125" t="str">
        <f>'Standard Vorgaben'!$D$47</f>
        <v>Mostobst total</v>
      </c>
      <c r="CI11" s="897">
        <f>CJ11/$B$5</f>
        <v>4</v>
      </c>
      <c r="CJ11" s="898">
        <f>CJ12*CM11</f>
        <v>8000</v>
      </c>
      <c r="CK11" s="899">
        <f>'Standard Vorgaben'!D60</f>
        <v>0</v>
      </c>
      <c r="CL11" s="228">
        <f>CJ11*CK11</f>
        <v>0</v>
      </c>
      <c r="CM11" s="859">
        <f>'Standard Vorgaben'!F88</f>
        <v>0.25</v>
      </c>
      <c r="CO11" s="125" t="str">
        <f>'Standard Vorgaben'!$D$47</f>
        <v>Mostobst total</v>
      </c>
      <c r="CP11" s="897">
        <f>CQ11/$B$5</f>
        <v>4</v>
      </c>
      <c r="CQ11" s="898">
        <f>CQ12*CT11</f>
        <v>8000</v>
      </c>
      <c r="CR11" s="899">
        <f>'Standard Vorgaben'!D61</f>
        <v>0</v>
      </c>
      <c r="CS11" s="228">
        <f>CQ11*CR11</f>
        <v>0</v>
      </c>
      <c r="CT11" s="859">
        <f>'Standard Vorgaben'!F89</f>
        <v>0.25</v>
      </c>
      <c r="CV11" s="125" t="str">
        <f>'Standard Vorgaben'!$D$47</f>
        <v>Mostobst total</v>
      </c>
      <c r="CW11" s="897">
        <f>CX11/$B$5</f>
        <v>4</v>
      </c>
      <c r="CX11" s="898">
        <f>CX12*DA11</f>
        <v>8000</v>
      </c>
      <c r="CY11" s="899">
        <f>'Standard Vorgaben'!D62</f>
        <v>0</v>
      </c>
      <c r="CZ11" s="228">
        <f>CX11*CY11</f>
        <v>0</v>
      </c>
      <c r="DA11" s="859">
        <f>'Standard Vorgaben'!F90</f>
        <v>0.25</v>
      </c>
      <c r="DC11" s="125" t="str">
        <f>'Standard Vorgaben'!$D$47</f>
        <v>Mostobst total</v>
      </c>
      <c r="DD11" s="897">
        <f>DE11/$B$5</f>
        <v>4</v>
      </c>
      <c r="DE11" s="898">
        <f>DE12*DH11</f>
        <v>8000</v>
      </c>
      <c r="DF11" s="899">
        <f>'Standard Vorgaben'!D63</f>
        <v>0</v>
      </c>
      <c r="DG11" s="228">
        <f>DE11*DF11</f>
        <v>0</v>
      </c>
      <c r="DH11" s="859">
        <f>'Standard Vorgaben'!F91</f>
        <v>0.25</v>
      </c>
      <c r="DJ11" s="125" t="str">
        <f>'Standard Vorgaben'!$D$47</f>
        <v>Mostobst total</v>
      </c>
      <c r="DK11" s="897">
        <f>DL11/$B$5</f>
        <v>4</v>
      </c>
      <c r="DL11" s="898">
        <f>DL12*DO11</f>
        <v>8000</v>
      </c>
      <c r="DM11" s="899">
        <f>'Standard Vorgaben'!D64</f>
        <v>0</v>
      </c>
      <c r="DN11" s="228">
        <f>DL11*DM11</f>
        <v>0</v>
      </c>
      <c r="DO11" s="859">
        <f>'Standard Vorgaben'!F92</f>
        <v>0.25</v>
      </c>
      <c r="DQ11" s="125" t="str">
        <f>'Standard Vorgaben'!$D$47</f>
        <v>Mostobst total</v>
      </c>
      <c r="DR11" s="897">
        <f>DS11/$B$5</f>
        <v>4</v>
      </c>
      <c r="DS11" s="898">
        <f>DS12*DV11</f>
        <v>8000</v>
      </c>
      <c r="DT11" s="899">
        <f>'Standard Vorgaben'!D65</f>
        <v>0</v>
      </c>
      <c r="DU11" s="228">
        <f>DS11*DT11</f>
        <v>0</v>
      </c>
      <c r="DV11" s="859">
        <f>'Standard Vorgaben'!F93</f>
        <v>0.25</v>
      </c>
      <c r="DX11" s="125" t="str">
        <f>'Standard Vorgaben'!$D$47</f>
        <v>Mostobst total</v>
      </c>
      <c r="DY11" s="897">
        <f>DZ11/$B$5</f>
        <v>4</v>
      </c>
      <c r="DZ11" s="898">
        <f>DZ12*EC11</f>
        <v>8000</v>
      </c>
      <c r="EA11" s="899">
        <f>'Standard Vorgaben'!D66</f>
        <v>0</v>
      </c>
      <c r="EB11" s="228">
        <f>DZ11*EA11</f>
        <v>0</v>
      </c>
      <c r="EC11" s="859">
        <f>'Standard Vorgaben'!F94</f>
        <v>0.25</v>
      </c>
      <c r="EE11" s="125" t="str">
        <f>'Standard Vorgaben'!$D$47</f>
        <v>Mostobst total</v>
      </c>
      <c r="EF11" s="897">
        <f>EG11/$B$5</f>
        <v>4</v>
      </c>
      <c r="EG11" s="898">
        <f>EG12*EJ11</f>
        <v>8000</v>
      </c>
      <c r="EH11" s="899">
        <f>'Standard Vorgaben'!D67</f>
        <v>0</v>
      </c>
      <c r="EI11" s="228">
        <f>EG11*EH11</f>
        <v>0</v>
      </c>
      <c r="EJ11" s="859">
        <f>'Standard Vorgaben'!F95</f>
        <v>0.25</v>
      </c>
    </row>
    <row r="12" spans="1:187" s="52" customFormat="1" x14ac:dyDescent="0.2">
      <c r="B12" s="53"/>
      <c r="C12" s="84">
        <f>SUM(C9:C11)</f>
        <v>0</v>
      </c>
      <c r="D12" s="603">
        <f>'Standard Vorgaben'!E48</f>
        <v>0</v>
      </c>
      <c r="E12" s="86">
        <f>(E8*G8)+(E9*G9)+(E10*G10)</f>
        <v>0.874</v>
      </c>
      <c r="F12" s="119">
        <f>SUM(F8:F11)</f>
        <v>0</v>
      </c>
      <c r="G12" s="211">
        <f>SUM(G9:G11)</f>
        <v>1</v>
      </c>
      <c r="I12" s="53"/>
      <c r="J12" s="84">
        <f>SUM(J9:J11)</f>
        <v>1.5</v>
      </c>
      <c r="K12" s="603">
        <f>'Standard Vorgaben'!E49</f>
        <v>3000</v>
      </c>
      <c r="L12" s="86">
        <f>M12/K12</f>
        <v>0.874</v>
      </c>
      <c r="M12" s="119">
        <f>SUM(M8:M11)</f>
        <v>2622</v>
      </c>
      <c r="N12" s="87">
        <f>SUM(N9:N11)</f>
        <v>1</v>
      </c>
      <c r="P12" s="53"/>
      <c r="Q12" s="84">
        <f>SUM(Q9:Q11)</f>
        <v>2.5</v>
      </c>
      <c r="R12" s="603">
        <f>'Standard Vorgaben'!E50</f>
        <v>5000</v>
      </c>
      <c r="S12" s="86">
        <f>T12/R12</f>
        <v>0.874</v>
      </c>
      <c r="T12" s="119">
        <f>SUM(T8:T11)</f>
        <v>4370</v>
      </c>
      <c r="U12" s="87">
        <f>SUM(U9:U11)</f>
        <v>1</v>
      </c>
      <c r="W12" s="53"/>
      <c r="X12" s="84">
        <f>SUM(X9:X11)</f>
        <v>5</v>
      </c>
      <c r="Y12" s="603">
        <f>'Standard Vorgaben'!E51</f>
        <v>10000</v>
      </c>
      <c r="Z12" s="86">
        <f>AA12/Y12</f>
        <v>0.874</v>
      </c>
      <c r="AA12" s="119">
        <f>SUM(AA8:AA11)</f>
        <v>8740</v>
      </c>
      <c r="AB12" s="87">
        <f>SUM(AB9:AB11)</f>
        <v>1</v>
      </c>
      <c r="AD12" s="53"/>
      <c r="AE12" s="84">
        <f>SUM(AE9:AE11)</f>
        <v>10</v>
      </c>
      <c r="AF12" s="603">
        <f>'Standard Vorgaben'!E52</f>
        <v>20000</v>
      </c>
      <c r="AG12" s="86">
        <f>AH12/AF12</f>
        <v>0.874</v>
      </c>
      <c r="AH12" s="119">
        <f>SUM(AH8:AH11)</f>
        <v>17480</v>
      </c>
      <c r="AI12" s="87">
        <f>SUM(AI9:AI11)</f>
        <v>1</v>
      </c>
      <c r="AK12" s="53"/>
      <c r="AL12" s="84">
        <f>SUM(AL9:AL11)</f>
        <v>16</v>
      </c>
      <c r="AM12" s="603">
        <f>'Standard Vorgaben'!E53</f>
        <v>32000</v>
      </c>
      <c r="AN12" s="86">
        <f>AO12/AM12</f>
        <v>0.874</v>
      </c>
      <c r="AO12" s="119">
        <f>SUM(AO8:AO11)</f>
        <v>27968</v>
      </c>
      <c r="AP12" s="87">
        <f>SUM(AP9:AP11)</f>
        <v>1</v>
      </c>
      <c r="AR12" s="53"/>
      <c r="AS12" s="84">
        <f>SUM(AS9:AS11)</f>
        <v>16</v>
      </c>
      <c r="AT12" s="603">
        <f>'Standard Vorgaben'!E54</f>
        <v>32000</v>
      </c>
      <c r="AU12" s="86">
        <f>AV12/AT12</f>
        <v>0.874</v>
      </c>
      <c r="AV12" s="119">
        <f>SUM(AV8:AV11)</f>
        <v>27968</v>
      </c>
      <c r="AW12" s="87">
        <f>SUM(AW9:AW11)</f>
        <v>1</v>
      </c>
      <c r="AY12" s="53"/>
      <c r="AZ12" s="84">
        <f>SUM(AZ9:AZ11)</f>
        <v>16</v>
      </c>
      <c r="BA12" s="603">
        <f>'Standard Vorgaben'!E55</f>
        <v>32000</v>
      </c>
      <c r="BB12" s="86">
        <f>BC12/BA12</f>
        <v>0.874</v>
      </c>
      <c r="BC12" s="119">
        <f>SUM(BC8:BC11)</f>
        <v>27968</v>
      </c>
      <c r="BD12" s="87">
        <f>SUM(BD9:BD11)</f>
        <v>1</v>
      </c>
      <c r="BF12" s="53"/>
      <c r="BG12" s="84">
        <f>SUM(BG9:BG11)</f>
        <v>16</v>
      </c>
      <c r="BH12" s="603">
        <f>'Standard Vorgaben'!E56</f>
        <v>32000</v>
      </c>
      <c r="BI12" s="86">
        <f>BJ12/BH12</f>
        <v>0.874</v>
      </c>
      <c r="BJ12" s="119">
        <f>SUM(BJ8:BJ11)</f>
        <v>27968</v>
      </c>
      <c r="BK12" s="87">
        <f>SUM(BK9:BK11)</f>
        <v>1</v>
      </c>
      <c r="BM12" s="53"/>
      <c r="BN12" s="84">
        <f>SUM(BN9:BN11)</f>
        <v>16</v>
      </c>
      <c r="BO12" s="603">
        <f>'Standard Vorgaben'!E57</f>
        <v>32000</v>
      </c>
      <c r="BP12" s="86">
        <f>BQ12/BO12</f>
        <v>0.874</v>
      </c>
      <c r="BQ12" s="119">
        <f>SUM(BQ8:BQ11)</f>
        <v>27968</v>
      </c>
      <c r="BR12" s="87">
        <f>SUM(BR9:BR11)</f>
        <v>1</v>
      </c>
      <c r="BT12" s="53"/>
      <c r="BU12" s="84">
        <f>SUM(BU9:BU11)</f>
        <v>16</v>
      </c>
      <c r="BV12" s="603">
        <f>'Standard Vorgaben'!E58</f>
        <v>32000</v>
      </c>
      <c r="BW12" s="86">
        <f>BX12/BV12</f>
        <v>0.874</v>
      </c>
      <c r="BX12" s="119">
        <f>SUM(BX8:BX11)</f>
        <v>27968</v>
      </c>
      <c r="BY12" s="87">
        <f>SUM(BY9:BY11)</f>
        <v>1</v>
      </c>
      <c r="CA12" s="53"/>
      <c r="CB12" s="84">
        <f>SUM(CB9:CB11)</f>
        <v>16</v>
      </c>
      <c r="CC12" s="603">
        <f>'Standard Vorgaben'!E59</f>
        <v>32000</v>
      </c>
      <c r="CD12" s="86">
        <f>CE12/CC12</f>
        <v>0.874</v>
      </c>
      <c r="CE12" s="119">
        <f>SUM(CE8:CE11)</f>
        <v>27968</v>
      </c>
      <c r="CF12" s="87">
        <f>SUM(CF9:CF11)</f>
        <v>1</v>
      </c>
      <c r="CH12" s="53"/>
      <c r="CI12" s="84">
        <f>SUM(CI9:CI11)</f>
        <v>16</v>
      </c>
      <c r="CJ12" s="603">
        <f>'Standard Vorgaben'!E60</f>
        <v>32000</v>
      </c>
      <c r="CK12" s="86">
        <f>CL12/CJ12</f>
        <v>0.874</v>
      </c>
      <c r="CL12" s="119">
        <f>SUM(CL8:CL11)</f>
        <v>27968</v>
      </c>
      <c r="CM12" s="87">
        <f>SUM(CM9:CM11)</f>
        <v>1</v>
      </c>
      <c r="CO12" s="53"/>
      <c r="CP12" s="84">
        <f>SUM(CP9:CP11)</f>
        <v>16</v>
      </c>
      <c r="CQ12" s="603">
        <f>'Standard Vorgaben'!E61</f>
        <v>32000</v>
      </c>
      <c r="CR12" s="86">
        <f>CS12/CQ12</f>
        <v>0.874</v>
      </c>
      <c r="CS12" s="119">
        <f>SUM(CS8:CS11)</f>
        <v>27968</v>
      </c>
      <c r="CT12" s="87">
        <f>SUM(CT9:CT11)</f>
        <v>1</v>
      </c>
      <c r="CV12" s="53"/>
      <c r="CW12" s="84">
        <f>SUM(CW9:CW11)</f>
        <v>16</v>
      </c>
      <c r="CX12" s="603">
        <f>'Standard Vorgaben'!E62</f>
        <v>32000</v>
      </c>
      <c r="CY12" s="86">
        <f>CZ12/CX12</f>
        <v>0.874</v>
      </c>
      <c r="CZ12" s="119">
        <f>SUM(CZ8:CZ11)</f>
        <v>27968</v>
      </c>
      <c r="DA12" s="87">
        <f>SUM(DA9:DA11)</f>
        <v>1</v>
      </c>
      <c r="DC12" s="53"/>
      <c r="DD12" s="84">
        <f>SUM(DD9:DD11)</f>
        <v>16</v>
      </c>
      <c r="DE12" s="603">
        <f>'Standard Vorgaben'!E63</f>
        <v>32000</v>
      </c>
      <c r="DF12" s="86">
        <f>DG12/DE12</f>
        <v>0.874</v>
      </c>
      <c r="DG12" s="119">
        <f>SUM(DG8:DG11)</f>
        <v>27968</v>
      </c>
      <c r="DH12" s="87">
        <f>SUM(DH9:DH11)</f>
        <v>1</v>
      </c>
      <c r="DJ12" s="53"/>
      <c r="DK12" s="84">
        <f>SUM(DK9:DK11)</f>
        <v>16</v>
      </c>
      <c r="DL12" s="603">
        <f>'Standard Vorgaben'!E64</f>
        <v>32000</v>
      </c>
      <c r="DM12" s="86">
        <f>DN12/DL12</f>
        <v>0.874</v>
      </c>
      <c r="DN12" s="119">
        <f>SUM(DN8:DN11)</f>
        <v>27968</v>
      </c>
      <c r="DO12" s="87">
        <f>SUM(DO9:DO11)</f>
        <v>1</v>
      </c>
      <c r="DQ12" s="53"/>
      <c r="DR12" s="84">
        <f>SUM(DR9:DR11)</f>
        <v>16</v>
      </c>
      <c r="DS12" s="603">
        <f>'Standard Vorgaben'!E65</f>
        <v>32000</v>
      </c>
      <c r="DT12" s="86">
        <f>DU12/DS12</f>
        <v>0.874</v>
      </c>
      <c r="DU12" s="119">
        <f>SUM(DU8:DU11)</f>
        <v>27968</v>
      </c>
      <c r="DV12" s="87">
        <f>SUM(DV9:DV11)</f>
        <v>1</v>
      </c>
      <c r="DX12" s="53"/>
      <c r="DY12" s="84">
        <f>SUM(DY9:DY11)</f>
        <v>16</v>
      </c>
      <c r="DZ12" s="603">
        <f>'Standard Vorgaben'!E66</f>
        <v>32000</v>
      </c>
      <c r="EA12" s="86">
        <f>EB12/DZ12</f>
        <v>0.874</v>
      </c>
      <c r="EB12" s="119">
        <f>SUM(EB8:EB11)</f>
        <v>27968</v>
      </c>
      <c r="EC12" s="87">
        <f>SUM(EC9:EC11)</f>
        <v>1</v>
      </c>
      <c r="EE12" s="53"/>
      <c r="EF12" s="84">
        <f>SUM(EF9:EF11)</f>
        <v>16</v>
      </c>
      <c r="EG12" s="603">
        <f>'Standard Vorgaben'!E67</f>
        <v>32000</v>
      </c>
      <c r="EH12" s="86">
        <f>EI12/EG12</f>
        <v>0.874</v>
      </c>
      <c r="EI12" s="119">
        <f>SUM(EI8:EI11)</f>
        <v>27968</v>
      </c>
      <c r="EJ12" s="87">
        <f>SUM(EJ9:EJ11)</f>
        <v>1</v>
      </c>
    </row>
    <row r="13" spans="1:187" s="125" customFormat="1" x14ac:dyDescent="0.2">
      <c r="B13" s="125" t="str">
        <f>'Standard Vorgaben'!$A$41</f>
        <v>Direktzahlungen ÖLN</v>
      </c>
      <c r="C13" s="920"/>
      <c r="D13" s="921"/>
      <c r="E13" s="922"/>
      <c r="F13" s="228">
        <f>'Standard Vorgaben'!$C$41</f>
        <v>1100</v>
      </c>
      <c r="G13" s="613"/>
      <c r="I13" s="125" t="str">
        <f>'Standard Vorgaben'!$A$41</f>
        <v>Direktzahlungen ÖLN</v>
      </c>
      <c r="J13" s="920"/>
      <c r="K13" s="921"/>
      <c r="L13" s="922"/>
      <c r="M13" s="228">
        <f>'Standard Vorgaben'!$C$41</f>
        <v>1100</v>
      </c>
      <c r="N13" s="859"/>
      <c r="P13" s="125" t="str">
        <f>'Standard Vorgaben'!$A$41</f>
        <v>Direktzahlungen ÖLN</v>
      </c>
      <c r="Q13" s="920"/>
      <c r="R13" s="921"/>
      <c r="S13" s="922"/>
      <c r="T13" s="228">
        <f>'Standard Vorgaben'!$C$41</f>
        <v>1100</v>
      </c>
      <c r="U13" s="859"/>
      <c r="W13" s="125" t="str">
        <f>'Standard Vorgaben'!$A$41</f>
        <v>Direktzahlungen ÖLN</v>
      </c>
      <c r="X13" s="920"/>
      <c r="Y13" s="921"/>
      <c r="Z13" s="922"/>
      <c r="AA13" s="228">
        <f>'Standard Vorgaben'!$C$41</f>
        <v>1100</v>
      </c>
      <c r="AB13" s="859"/>
      <c r="AD13" s="125" t="str">
        <f>'Standard Vorgaben'!$A$41</f>
        <v>Direktzahlungen ÖLN</v>
      </c>
      <c r="AE13" s="920"/>
      <c r="AF13" s="921"/>
      <c r="AG13" s="922"/>
      <c r="AH13" s="228">
        <f>'Standard Vorgaben'!$C$41</f>
        <v>1100</v>
      </c>
      <c r="AI13" s="859"/>
      <c r="AK13" s="125" t="str">
        <f>'Standard Vorgaben'!$A$41</f>
        <v>Direktzahlungen ÖLN</v>
      </c>
      <c r="AL13" s="920"/>
      <c r="AM13" s="921"/>
      <c r="AN13" s="922"/>
      <c r="AO13" s="228">
        <f>'Standard Vorgaben'!$C$41</f>
        <v>1100</v>
      </c>
      <c r="AP13" s="859"/>
      <c r="AR13" s="125" t="str">
        <f>'Standard Vorgaben'!$A$41</f>
        <v>Direktzahlungen ÖLN</v>
      </c>
      <c r="AS13" s="920"/>
      <c r="AT13" s="921"/>
      <c r="AU13" s="922"/>
      <c r="AV13" s="228">
        <f>'Standard Vorgaben'!$C$41</f>
        <v>1100</v>
      </c>
      <c r="AW13" s="859"/>
      <c r="AY13" s="125" t="str">
        <f>'Standard Vorgaben'!$A$41</f>
        <v>Direktzahlungen ÖLN</v>
      </c>
      <c r="AZ13" s="920"/>
      <c r="BA13" s="921"/>
      <c r="BB13" s="922"/>
      <c r="BC13" s="228">
        <f>'Standard Vorgaben'!$C$41</f>
        <v>1100</v>
      </c>
      <c r="BD13" s="859"/>
      <c r="BF13" s="125" t="str">
        <f>'Standard Vorgaben'!$A$41</f>
        <v>Direktzahlungen ÖLN</v>
      </c>
      <c r="BG13" s="920"/>
      <c r="BH13" s="921"/>
      <c r="BI13" s="922"/>
      <c r="BJ13" s="228">
        <f>'Standard Vorgaben'!$C$41</f>
        <v>1100</v>
      </c>
      <c r="BK13" s="859"/>
      <c r="BM13" s="125" t="str">
        <f>'Standard Vorgaben'!$A$41</f>
        <v>Direktzahlungen ÖLN</v>
      </c>
      <c r="BN13" s="920"/>
      <c r="BO13" s="921"/>
      <c r="BP13" s="922"/>
      <c r="BQ13" s="228">
        <f>'Standard Vorgaben'!$C$41</f>
        <v>1100</v>
      </c>
      <c r="BR13" s="859"/>
      <c r="BT13" s="125" t="str">
        <f>'Standard Vorgaben'!$A$41</f>
        <v>Direktzahlungen ÖLN</v>
      </c>
      <c r="BU13" s="920"/>
      <c r="BV13" s="921"/>
      <c r="BW13" s="922"/>
      <c r="BX13" s="228">
        <f>'Standard Vorgaben'!$C$41</f>
        <v>1100</v>
      </c>
      <c r="BY13" s="859"/>
      <c r="CA13" s="125" t="str">
        <f>'Standard Vorgaben'!$A$41</f>
        <v>Direktzahlungen ÖLN</v>
      </c>
      <c r="CB13" s="920"/>
      <c r="CC13" s="921"/>
      <c r="CD13" s="922"/>
      <c r="CE13" s="228">
        <f>'Standard Vorgaben'!$C$41</f>
        <v>1100</v>
      </c>
      <c r="CF13" s="859"/>
      <c r="CH13" s="125" t="str">
        <f>'Standard Vorgaben'!$A$41</f>
        <v>Direktzahlungen ÖLN</v>
      </c>
      <c r="CI13" s="920"/>
      <c r="CJ13" s="921"/>
      <c r="CK13" s="922"/>
      <c r="CL13" s="228">
        <f>'Standard Vorgaben'!$C$41</f>
        <v>1100</v>
      </c>
      <c r="CM13" s="859"/>
      <c r="CO13" s="125" t="str">
        <f>'Standard Vorgaben'!$A$41</f>
        <v>Direktzahlungen ÖLN</v>
      </c>
      <c r="CP13" s="920"/>
      <c r="CQ13" s="921"/>
      <c r="CR13" s="922"/>
      <c r="CS13" s="228">
        <f>'Standard Vorgaben'!$C$41</f>
        <v>1100</v>
      </c>
      <c r="CT13" s="859"/>
      <c r="CV13" s="125" t="str">
        <f>'Standard Vorgaben'!$A$41</f>
        <v>Direktzahlungen ÖLN</v>
      </c>
      <c r="CW13" s="920"/>
      <c r="CX13" s="921"/>
      <c r="CZ13" s="228">
        <f>'Standard Vorgaben'!$C$41</f>
        <v>1100</v>
      </c>
      <c r="DA13" s="613"/>
      <c r="DC13" s="125" t="str">
        <f>'Standard Vorgaben'!$A$41</f>
        <v>Direktzahlungen ÖLN</v>
      </c>
      <c r="DD13" s="920"/>
      <c r="DE13" s="921"/>
      <c r="DG13" s="228">
        <f>'Standard Vorgaben'!$C$41</f>
        <v>1100</v>
      </c>
      <c r="DH13" s="613"/>
      <c r="DJ13" s="125" t="str">
        <f>'Standard Vorgaben'!$A$41</f>
        <v>Direktzahlungen ÖLN</v>
      </c>
      <c r="DK13" s="920"/>
      <c r="DL13" s="921"/>
      <c r="DN13" s="228">
        <f>'Standard Vorgaben'!$C$41</f>
        <v>1100</v>
      </c>
      <c r="DO13" s="613"/>
      <c r="DQ13" s="125" t="str">
        <f>'Standard Vorgaben'!$A$41</f>
        <v>Direktzahlungen ÖLN</v>
      </c>
      <c r="DR13" s="920"/>
      <c r="DS13" s="921"/>
      <c r="DU13" s="228">
        <f>'Standard Vorgaben'!$C$41</f>
        <v>1100</v>
      </c>
      <c r="DV13" s="613"/>
      <c r="DX13" s="125" t="str">
        <f>'Standard Vorgaben'!$A$41</f>
        <v>Direktzahlungen ÖLN</v>
      </c>
      <c r="DY13" s="920"/>
      <c r="DZ13" s="921"/>
      <c r="EB13" s="228">
        <f>'Standard Vorgaben'!$C$41</f>
        <v>1100</v>
      </c>
      <c r="EC13" s="613"/>
      <c r="EE13" s="125" t="str">
        <f>'Standard Vorgaben'!$A$41</f>
        <v>Direktzahlungen ÖLN</v>
      </c>
      <c r="EF13" s="920"/>
      <c r="EG13" s="921"/>
      <c r="EI13" s="228">
        <f>'Standard Vorgaben'!$C$41</f>
        <v>1100</v>
      </c>
      <c r="EJ13" s="613"/>
    </row>
    <row r="14" spans="1:187" s="1043" customFormat="1" ht="23.25" customHeight="1" thickBot="1" x14ac:dyDescent="0.3">
      <c r="A14" s="1038" t="s">
        <v>257</v>
      </c>
      <c r="B14" s="1039"/>
      <c r="C14" s="1039"/>
      <c r="D14" s="1039"/>
      <c r="E14" s="1039"/>
      <c r="F14" s="1040">
        <f>SUM(F12:F13)</f>
        <v>1100</v>
      </c>
      <c r="G14" s="1044"/>
      <c r="H14" s="1038" t="s">
        <v>257</v>
      </c>
      <c r="I14" s="1039"/>
      <c r="J14" s="1039"/>
      <c r="K14" s="1039"/>
      <c r="L14" s="1039"/>
      <c r="M14" s="1040">
        <f>SUM(M12:M13)</f>
        <v>3722</v>
      </c>
      <c r="N14" s="1041"/>
      <c r="O14" s="1038" t="s">
        <v>257</v>
      </c>
      <c r="P14" s="1039"/>
      <c r="Q14" s="1039"/>
      <c r="R14" s="1039"/>
      <c r="S14" s="1039"/>
      <c r="T14" s="1040">
        <f>SUM(T12:T13)</f>
        <v>5470</v>
      </c>
      <c r="U14" s="1041"/>
      <c r="V14" s="1038" t="s">
        <v>257</v>
      </c>
      <c r="W14" s="1039"/>
      <c r="X14" s="1039"/>
      <c r="Y14" s="1039"/>
      <c r="Z14" s="1039"/>
      <c r="AA14" s="1040">
        <f>SUM(AA12:AA13)</f>
        <v>9840</v>
      </c>
      <c r="AB14" s="1041"/>
      <c r="AC14" s="1038" t="s">
        <v>257</v>
      </c>
      <c r="AD14" s="1039"/>
      <c r="AE14" s="1039"/>
      <c r="AF14" s="1039"/>
      <c r="AG14" s="1039"/>
      <c r="AH14" s="1040">
        <f>SUM(AH12:AH13)</f>
        <v>18580</v>
      </c>
      <c r="AI14" s="1041"/>
      <c r="AJ14" s="1038" t="s">
        <v>257</v>
      </c>
      <c r="AK14" s="1039"/>
      <c r="AL14" s="1039"/>
      <c r="AM14" s="1039"/>
      <c r="AN14" s="1039"/>
      <c r="AO14" s="1040">
        <f>SUM(AO12:AO13)</f>
        <v>29068</v>
      </c>
      <c r="AP14" s="1041"/>
      <c r="AQ14" s="1038" t="s">
        <v>257</v>
      </c>
      <c r="AR14" s="1039"/>
      <c r="AS14" s="1039"/>
      <c r="AT14" s="1039"/>
      <c r="AU14" s="1039"/>
      <c r="AV14" s="1040">
        <f>SUM(AV12:AV13)</f>
        <v>29068</v>
      </c>
      <c r="AW14" s="1041"/>
      <c r="AX14" s="1038" t="s">
        <v>257</v>
      </c>
      <c r="AY14" s="1039"/>
      <c r="AZ14" s="1039"/>
      <c r="BA14" s="1039"/>
      <c r="BB14" s="1039"/>
      <c r="BC14" s="1040">
        <f>SUM(BC12:BC13)</f>
        <v>29068</v>
      </c>
      <c r="BD14" s="1041"/>
      <c r="BE14" s="1038" t="s">
        <v>257</v>
      </c>
      <c r="BF14" s="1039"/>
      <c r="BG14" s="1039"/>
      <c r="BH14" s="1039"/>
      <c r="BI14" s="1039"/>
      <c r="BJ14" s="1040">
        <f>SUM(BJ12:BJ13)</f>
        <v>29068</v>
      </c>
      <c r="BK14" s="1041"/>
      <c r="BL14" s="1038" t="s">
        <v>257</v>
      </c>
      <c r="BM14" s="1039"/>
      <c r="BN14" s="1039"/>
      <c r="BO14" s="1039"/>
      <c r="BP14" s="1039"/>
      <c r="BQ14" s="1040">
        <f>SUM(BQ12:BQ13)</f>
        <v>29068</v>
      </c>
      <c r="BR14" s="1041"/>
      <c r="BS14" s="1038" t="s">
        <v>257</v>
      </c>
      <c r="BT14" s="1039"/>
      <c r="BU14" s="1039"/>
      <c r="BV14" s="1039"/>
      <c r="BW14" s="1039"/>
      <c r="BX14" s="1040">
        <f>SUM(BX12:BX13)</f>
        <v>29068</v>
      </c>
      <c r="BY14" s="1041"/>
      <c r="BZ14" s="1038" t="s">
        <v>257</v>
      </c>
      <c r="CA14" s="1039"/>
      <c r="CB14" s="1039"/>
      <c r="CC14" s="1039"/>
      <c r="CD14" s="1039"/>
      <c r="CE14" s="1040">
        <f>SUM(CE12:CE13)</f>
        <v>29068</v>
      </c>
      <c r="CF14" s="1041"/>
      <c r="CG14" s="1038" t="s">
        <v>257</v>
      </c>
      <c r="CH14" s="1039"/>
      <c r="CI14" s="1039"/>
      <c r="CJ14" s="1039"/>
      <c r="CK14" s="1039"/>
      <c r="CL14" s="1040">
        <f>SUM(CL12:CL13)</f>
        <v>29068</v>
      </c>
      <c r="CM14" s="1041"/>
      <c r="CN14" s="1038" t="s">
        <v>257</v>
      </c>
      <c r="CO14" s="1039"/>
      <c r="CP14" s="1039"/>
      <c r="CQ14" s="1039"/>
      <c r="CR14" s="1039"/>
      <c r="CS14" s="1040">
        <f>SUM(CS12:CS13)</f>
        <v>29068</v>
      </c>
      <c r="CT14" s="1041"/>
      <c r="CU14" s="1038" t="s">
        <v>257</v>
      </c>
      <c r="CV14" s="1039"/>
      <c r="CW14" s="1039"/>
      <c r="CX14" s="1039"/>
      <c r="CY14" s="1039"/>
      <c r="CZ14" s="1040">
        <f>SUM(CZ12:CZ13)</f>
        <v>29068</v>
      </c>
      <c r="DA14" s="1042"/>
      <c r="DB14" s="1038" t="s">
        <v>257</v>
      </c>
      <c r="DC14" s="1039"/>
      <c r="DD14" s="1039"/>
      <c r="DE14" s="1039"/>
      <c r="DF14" s="1039"/>
      <c r="DG14" s="1040">
        <f>SUM(DG12:DG13)</f>
        <v>29068</v>
      </c>
      <c r="DH14" s="1042"/>
      <c r="DI14" s="1038" t="s">
        <v>257</v>
      </c>
      <c r="DJ14" s="1039"/>
      <c r="DK14" s="1039"/>
      <c r="DL14" s="1039"/>
      <c r="DM14" s="1039"/>
      <c r="DN14" s="1040">
        <f>SUM(DN12:DN13)</f>
        <v>29068</v>
      </c>
      <c r="DO14" s="1042"/>
      <c r="DP14" s="1038" t="s">
        <v>257</v>
      </c>
      <c r="DQ14" s="1039"/>
      <c r="DR14" s="1039"/>
      <c r="DS14" s="1039"/>
      <c r="DT14" s="1039"/>
      <c r="DU14" s="1040">
        <f>SUM(DU12:DU13)</f>
        <v>29068</v>
      </c>
      <c r="DV14" s="1042"/>
      <c r="DW14" s="1038" t="s">
        <v>257</v>
      </c>
      <c r="DX14" s="1039"/>
      <c r="DY14" s="1039"/>
      <c r="DZ14" s="1039"/>
      <c r="EA14" s="1039"/>
      <c r="EB14" s="1040">
        <f>SUM(EB12:EB13)</f>
        <v>29068</v>
      </c>
      <c r="EC14" s="1042"/>
      <c r="ED14" s="1038" t="s">
        <v>257</v>
      </c>
      <c r="EE14" s="1039"/>
      <c r="EF14" s="1039"/>
      <c r="EG14" s="1039"/>
      <c r="EH14" s="1039"/>
      <c r="EI14" s="1040">
        <f>SUM(EI12:EI13)</f>
        <v>29068</v>
      </c>
      <c r="EJ14" s="1042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  <c r="FG14" s="37"/>
      <c r="FH14" s="37"/>
      <c r="FI14" s="37"/>
      <c r="FJ14" s="37"/>
      <c r="FK14" s="37"/>
      <c r="FL14" s="37"/>
      <c r="FM14" s="37"/>
      <c r="FN14" s="37"/>
      <c r="FO14" s="37"/>
      <c r="FP14" s="37"/>
      <c r="FQ14" s="37"/>
      <c r="FR14" s="37"/>
      <c r="FS14" s="37"/>
      <c r="FT14" s="37"/>
      <c r="FU14" s="37"/>
      <c r="FV14" s="37"/>
      <c r="FW14" s="37"/>
      <c r="FX14" s="37"/>
      <c r="FY14" s="37"/>
      <c r="FZ14" s="37"/>
      <c r="GA14" s="37"/>
      <c r="GB14" s="37"/>
      <c r="GC14" s="37"/>
      <c r="GD14" s="37"/>
      <c r="GE14" s="37"/>
    </row>
    <row r="15" spans="1:187" s="19" customFormat="1" x14ac:dyDescent="0.2">
      <c r="A15" s="4"/>
      <c r="B15" s="4"/>
      <c r="C15" s="33" t="s">
        <v>11</v>
      </c>
      <c r="D15" s="33" t="s">
        <v>55</v>
      </c>
      <c r="E15" s="34" t="s">
        <v>56</v>
      </c>
      <c r="F15" s="41" t="s">
        <v>13</v>
      </c>
      <c r="G15" s="36" t="s">
        <v>58</v>
      </c>
      <c r="H15" s="4"/>
      <c r="I15" s="4"/>
      <c r="J15" s="33" t="s">
        <v>11</v>
      </c>
      <c r="K15" s="33" t="s">
        <v>55</v>
      </c>
      <c r="L15" s="34" t="s">
        <v>56</v>
      </c>
      <c r="M15" s="41" t="s">
        <v>13</v>
      </c>
      <c r="N15" s="36" t="s">
        <v>58</v>
      </c>
      <c r="O15" s="4"/>
      <c r="P15" s="4"/>
      <c r="Q15" s="33" t="s">
        <v>11</v>
      </c>
      <c r="R15" s="33" t="s">
        <v>55</v>
      </c>
      <c r="S15" s="34" t="s">
        <v>56</v>
      </c>
      <c r="T15" s="41" t="s">
        <v>13</v>
      </c>
      <c r="U15" s="36" t="s">
        <v>58</v>
      </c>
      <c r="V15" s="4"/>
      <c r="W15" s="4"/>
      <c r="X15" s="33" t="s">
        <v>11</v>
      </c>
      <c r="Y15" s="33" t="s">
        <v>55</v>
      </c>
      <c r="Z15" s="34" t="s">
        <v>56</v>
      </c>
      <c r="AA15" s="41" t="s">
        <v>13</v>
      </c>
      <c r="AB15" s="36" t="s">
        <v>58</v>
      </c>
      <c r="AC15" s="4"/>
      <c r="AD15" s="4"/>
      <c r="AE15" s="33" t="s">
        <v>11</v>
      </c>
      <c r="AF15" s="33" t="s">
        <v>55</v>
      </c>
      <c r="AG15" s="34" t="s">
        <v>56</v>
      </c>
      <c r="AH15" s="41" t="s">
        <v>13</v>
      </c>
      <c r="AI15" s="36" t="s">
        <v>58</v>
      </c>
      <c r="AJ15" s="4"/>
      <c r="AK15" s="4"/>
      <c r="AL15" s="33" t="s">
        <v>11</v>
      </c>
      <c r="AM15" s="33" t="s">
        <v>55</v>
      </c>
      <c r="AN15" s="34" t="s">
        <v>56</v>
      </c>
      <c r="AO15" s="41" t="s">
        <v>13</v>
      </c>
      <c r="AP15" s="36" t="s">
        <v>58</v>
      </c>
      <c r="AQ15" s="4"/>
      <c r="AR15" s="4"/>
      <c r="AS15" s="33" t="s">
        <v>11</v>
      </c>
      <c r="AT15" s="33" t="s">
        <v>55</v>
      </c>
      <c r="AU15" s="34" t="s">
        <v>56</v>
      </c>
      <c r="AV15" s="41" t="s">
        <v>13</v>
      </c>
      <c r="AW15" s="36" t="s">
        <v>58</v>
      </c>
      <c r="AX15" s="4"/>
      <c r="AY15" s="4"/>
      <c r="AZ15" s="33" t="s">
        <v>11</v>
      </c>
      <c r="BA15" s="33" t="s">
        <v>55</v>
      </c>
      <c r="BB15" s="34" t="s">
        <v>56</v>
      </c>
      <c r="BC15" s="41" t="s">
        <v>13</v>
      </c>
      <c r="BD15" s="36" t="s">
        <v>58</v>
      </c>
      <c r="BE15" s="4"/>
      <c r="BF15" s="4"/>
      <c r="BG15" s="33" t="s">
        <v>11</v>
      </c>
      <c r="BH15" s="33" t="s">
        <v>55</v>
      </c>
      <c r="BI15" s="34" t="s">
        <v>56</v>
      </c>
      <c r="BJ15" s="41" t="s">
        <v>13</v>
      </c>
      <c r="BK15" s="36" t="s">
        <v>58</v>
      </c>
      <c r="BL15" s="4"/>
      <c r="BM15" s="4"/>
      <c r="BN15" s="33" t="s">
        <v>11</v>
      </c>
      <c r="BO15" s="33" t="s">
        <v>55</v>
      </c>
      <c r="BP15" s="34" t="s">
        <v>56</v>
      </c>
      <c r="BQ15" s="41" t="s">
        <v>13</v>
      </c>
      <c r="BR15" s="36" t="s">
        <v>58</v>
      </c>
      <c r="BS15" s="4"/>
      <c r="BT15" s="4"/>
      <c r="BU15" s="33" t="s">
        <v>11</v>
      </c>
      <c r="BV15" s="33" t="s">
        <v>55</v>
      </c>
      <c r="BW15" s="34" t="s">
        <v>56</v>
      </c>
      <c r="BX15" s="41" t="s">
        <v>13</v>
      </c>
      <c r="BY15" s="36" t="s">
        <v>58</v>
      </c>
      <c r="BZ15" s="4"/>
      <c r="CA15" s="4"/>
      <c r="CB15" s="33" t="s">
        <v>11</v>
      </c>
      <c r="CC15" s="33" t="s">
        <v>55</v>
      </c>
      <c r="CD15" s="34" t="s">
        <v>56</v>
      </c>
      <c r="CE15" s="41" t="s">
        <v>13</v>
      </c>
      <c r="CF15" s="36" t="s">
        <v>58</v>
      </c>
      <c r="CG15" s="4"/>
      <c r="CH15" s="4"/>
      <c r="CI15" s="33" t="s">
        <v>11</v>
      </c>
      <c r="CJ15" s="33" t="s">
        <v>55</v>
      </c>
      <c r="CK15" s="34" t="s">
        <v>56</v>
      </c>
      <c r="CL15" s="41" t="s">
        <v>13</v>
      </c>
      <c r="CM15" s="36" t="s">
        <v>58</v>
      </c>
      <c r="CN15" s="4"/>
      <c r="CO15" s="4"/>
      <c r="CP15" s="33" t="s">
        <v>11</v>
      </c>
      <c r="CQ15" s="33" t="s">
        <v>55</v>
      </c>
      <c r="CR15" s="34" t="s">
        <v>56</v>
      </c>
      <c r="CS15" s="41" t="s">
        <v>13</v>
      </c>
      <c r="CT15" s="36" t="s">
        <v>58</v>
      </c>
      <c r="CU15" s="4"/>
      <c r="CV15" s="4"/>
      <c r="CW15" s="33" t="s">
        <v>11</v>
      </c>
      <c r="CX15" s="33" t="s">
        <v>55</v>
      </c>
      <c r="CY15" s="34" t="s">
        <v>56</v>
      </c>
      <c r="CZ15" s="41" t="s">
        <v>13</v>
      </c>
      <c r="DA15" s="36" t="s">
        <v>58</v>
      </c>
      <c r="DB15" s="4"/>
      <c r="DC15" s="4"/>
      <c r="DD15" s="33" t="s">
        <v>11</v>
      </c>
      <c r="DE15" s="33" t="s">
        <v>55</v>
      </c>
      <c r="DF15" s="34" t="s">
        <v>56</v>
      </c>
      <c r="DG15" s="41" t="s">
        <v>13</v>
      </c>
      <c r="DH15" s="36" t="s">
        <v>58</v>
      </c>
      <c r="DI15" s="4"/>
      <c r="DJ15" s="4"/>
      <c r="DK15" s="33" t="s">
        <v>11</v>
      </c>
      <c r="DL15" s="33" t="s">
        <v>55</v>
      </c>
      <c r="DM15" s="34" t="s">
        <v>56</v>
      </c>
      <c r="DN15" s="41" t="s">
        <v>13</v>
      </c>
      <c r="DO15" s="36" t="s">
        <v>58</v>
      </c>
      <c r="DP15" s="4"/>
      <c r="DQ15" s="4"/>
      <c r="DR15" s="33" t="s">
        <v>11</v>
      </c>
      <c r="DS15" s="33" t="s">
        <v>55</v>
      </c>
      <c r="DT15" s="34" t="s">
        <v>56</v>
      </c>
      <c r="DU15" s="41" t="s">
        <v>13</v>
      </c>
      <c r="DV15" s="36" t="s">
        <v>58</v>
      </c>
      <c r="DW15" s="4"/>
      <c r="DX15" s="4"/>
      <c r="DY15" s="33" t="s">
        <v>11</v>
      </c>
      <c r="DZ15" s="33" t="s">
        <v>55</v>
      </c>
      <c r="EA15" s="34" t="s">
        <v>56</v>
      </c>
      <c r="EB15" s="41" t="s">
        <v>13</v>
      </c>
      <c r="EC15" s="36" t="s">
        <v>58</v>
      </c>
      <c r="ED15" s="4"/>
      <c r="EE15" s="4"/>
      <c r="EF15" s="33" t="s">
        <v>11</v>
      </c>
      <c r="EG15" s="33" t="s">
        <v>55</v>
      </c>
      <c r="EH15" s="34" t="s">
        <v>56</v>
      </c>
      <c r="EI15" s="41" t="s">
        <v>13</v>
      </c>
      <c r="EJ15" s="36" t="s">
        <v>58</v>
      </c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  <c r="FG15" s="37"/>
      <c r="FH15" s="37"/>
      <c r="FI15" s="37"/>
      <c r="FJ15" s="37"/>
      <c r="FK15" s="37"/>
      <c r="FL15" s="37"/>
      <c r="FM15" s="37"/>
      <c r="FN15" s="37"/>
      <c r="FO15" s="37"/>
      <c r="FP15" s="37"/>
      <c r="FQ15" s="37"/>
      <c r="FR15" s="37"/>
      <c r="FS15" s="37"/>
      <c r="FT15" s="37"/>
      <c r="FU15" s="37"/>
      <c r="FV15" s="37"/>
      <c r="FW15" s="37"/>
      <c r="FX15" s="37"/>
      <c r="FY15" s="37"/>
      <c r="FZ15" s="37"/>
      <c r="GA15" s="37"/>
      <c r="GB15" s="37"/>
      <c r="GC15" s="37"/>
      <c r="GD15" s="37"/>
      <c r="GE15" s="37"/>
    </row>
    <row r="16" spans="1:187" s="1" customFormat="1" x14ac:dyDescent="0.2">
      <c r="A16" s="3" t="s">
        <v>29</v>
      </c>
      <c r="B16" s="4" t="str">
        <f>'Standard Vorgaben'!B110</f>
        <v>Stickstoff</v>
      </c>
      <c r="C16" s="501">
        <f>'Standard Vorgaben'!B116</f>
        <v>0</v>
      </c>
      <c r="D16" s="181">
        <f>'Standard Vorgaben'!B115</f>
        <v>50</v>
      </c>
      <c r="E16" s="62">
        <f>'Standard Vorgaben'!B111</f>
        <v>0.95</v>
      </c>
      <c r="F16" s="43">
        <f>D16*E16</f>
        <v>47.5</v>
      </c>
      <c r="G16" s="271">
        <f>F16/$F$67</f>
        <v>4.6780387736826941E-3</v>
      </c>
      <c r="H16" s="3" t="s">
        <v>29</v>
      </c>
      <c r="I16" s="4" t="str">
        <f>'Standard Vorgaben'!B110</f>
        <v>Stickstoff</v>
      </c>
      <c r="J16" s="501">
        <f>'Standard Vorgaben'!B118</f>
        <v>1</v>
      </c>
      <c r="K16" s="181">
        <f>'Standard Vorgaben'!B117</f>
        <v>100</v>
      </c>
      <c r="L16" s="62">
        <f>'Standard Vorgaben'!B111</f>
        <v>0.95</v>
      </c>
      <c r="M16" s="43">
        <f>K16*L16</f>
        <v>95</v>
      </c>
      <c r="N16" s="271">
        <f>M16/$M$67</f>
        <v>7.6338677502089235E-3</v>
      </c>
      <c r="O16" s="3" t="s">
        <v>29</v>
      </c>
      <c r="P16" s="4" t="str">
        <f>'Standard Vorgaben'!B110</f>
        <v>Stickstoff</v>
      </c>
      <c r="Q16" s="501">
        <f>'Standard Vorgaben'!B120</f>
        <v>1</v>
      </c>
      <c r="R16" s="181">
        <f>'Standard Vorgaben'!B119</f>
        <v>150</v>
      </c>
      <c r="S16" s="62">
        <f>'Standard Vorgaben'!B111</f>
        <v>0.95</v>
      </c>
      <c r="T16" s="43">
        <f>R16*S16</f>
        <v>142.5</v>
      </c>
      <c r="U16" s="271">
        <f>T16/$T$67</f>
        <v>7.7672828020970332E-3</v>
      </c>
      <c r="V16" s="3" t="s">
        <v>29</v>
      </c>
      <c r="W16" s="4" t="str">
        <f>'Standard Vorgaben'!B110</f>
        <v>Stickstoff</v>
      </c>
      <c r="X16" s="501">
        <f>'Standard Vorgaben'!B122</f>
        <v>2</v>
      </c>
      <c r="Y16" s="181">
        <f>'Standard Vorgaben'!B121</f>
        <v>200</v>
      </c>
      <c r="Z16" s="62">
        <f>'Standard Vorgaben'!B111</f>
        <v>0.95</v>
      </c>
      <c r="AA16" s="43">
        <f>Y16*Z16</f>
        <v>190</v>
      </c>
      <c r="AB16" s="271">
        <f>AA16/$AA$67</f>
        <v>9.3387943466984365E-3</v>
      </c>
      <c r="AC16" s="3" t="s">
        <v>29</v>
      </c>
      <c r="AD16" s="4" t="str">
        <f>'Standard Vorgaben'!B110</f>
        <v>Stickstoff</v>
      </c>
      <c r="AE16" s="501">
        <f>'Standard Vorgaben'!B124</f>
        <v>2</v>
      </c>
      <c r="AF16" s="181">
        <f>'Standard Vorgaben'!B123</f>
        <v>200</v>
      </c>
      <c r="AG16" s="62">
        <f>'Standard Vorgaben'!B111</f>
        <v>0.95</v>
      </c>
      <c r="AH16" s="43">
        <f>AF16*AG16</f>
        <v>190</v>
      </c>
      <c r="AI16" s="271">
        <f>AH16/$AH$67</f>
        <v>7.1475530991217283E-3</v>
      </c>
      <c r="AJ16" s="3" t="s">
        <v>29</v>
      </c>
      <c r="AK16" s="4" t="str">
        <f>'Standard Vorgaben'!B110</f>
        <v>Stickstoff</v>
      </c>
      <c r="AL16" s="501">
        <f>'Standard Vorgaben'!B126</f>
        <v>2</v>
      </c>
      <c r="AM16" s="181">
        <f>'Standard Vorgaben'!B125</f>
        <v>200</v>
      </c>
      <c r="AN16" s="62">
        <f>'Standard Vorgaben'!B111</f>
        <v>0.95</v>
      </c>
      <c r="AO16" s="43">
        <f>AM16*AN16</f>
        <v>190</v>
      </c>
      <c r="AP16" s="271">
        <f>AO16/$AO$67</f>
        <v>6.470999102007307E-3</v>
      </c>
      <c r="AQ16" s="3" t="s">
        <v>29</v>
      </c>
      <c r="AR16" s="4" t="str">
        <f>'Standard Vorgaben'!B110</f>
        <v>Stickstoff</v>
      </c>
      <c r="AS16" s="501">
        <f>'Standard Vorgaben'!B126</f>
        <v>2</v>
      </c>
      <c r="AT16" s="181">
        <f>'Standard Vorgaben'!B125</f>
        <v>200</v>
      </c>
      <c r="AU16" s="62">
        <f>'Standard Vorgaben'!B111</f>
        <v>0.95</v>
      </c>
      <c r="AV16" s="43">
        <f>AT16*AU16</f>
        <v>190</v>
      </c>
      <c r="AW16" s="271">
        <f>AV16/$AV$67</f>
        <v>6.4704164586140839E-3</v>
      </c>
      <c r="AX16" s="3" t="s">
        <v>29</v>
      </c>
      <c r="AY16" s="4" t="str">
        <f>'Standard Vorgaben'!B110</f>
        <v>Stickstoff</v>
      </c>
      <c r="AZ16" s="501">
        <f>'Standard Vorgaben'!B126</f>
        <v>2</v>
      </c>
      <c r="BA16" s="181">
        <f>'Standard Vorgaben'!B125</f>
        <v>200</v>
      </c>
      <c r="BB16" s="62">
        <f>'Standard Vorgaben'!B111</f>
        <v>0.95</v>
      </c>
      <c r="BC16" s="43">
        <f>BA16*BB16</f>
        <v>190</v>
      </c>
      <c r="BD16" s="271">
        <f>BC16/$BC$67</f>
        <v>6.4698286777628063E-3</v>
      </c>
      <c r="BE16" s="3" t="s">
        <v>29</v>
      </c>
      <c r="BF16" s="4" t="str">
        <f>'Standard Vorgaben'!B110</f>
        <v>Stickstoff</v>
      </c>
      <c r="BG16" s="501">
        <f>'Standard Vorgaben'!B126</f>
        <v>2</v>
      </c>
      <c r="BH16" s="181">
        <f>'Standard Vorgaben'!B125</f>
        <v>200</v>
      </c>
      <c r="BI16" s="62">
        <f>'Standard Vorgaben'!B111</f>
        <v>0.95</v>
      </c>
      <c r="BJ16" s="43">
        <f>BH16*BI16</f>
        <v>190</v>
      </c>
      <c r="BK16" s="271">
        <f>BJ16/$BJ$67</f>
        <v>6.4692357151094494E-3</v>
      </c>
      <c r="BL16" s="3" t="s">
        <v>29</v>
      </c>
      <c r="BM16" s="4" t="str">
        <f>'Standard Vorgaben'!B110</f>
        <v>Stickstoff</v>
      </c>
      <c r="BN16" s="501">
        <f>'Standard Vorgaben'!B126</f>
        <v>2</v>
      </c>
      <c r="BO16" s="181">
        <f>'Standard Vorgaben'!B125</f>
        <v>200</v>
      </c>
      <c r="BP16" s="62">
        <f>'Standard Vorgaben'!B111</f>
        <v>0.95</v>
      </c>
      <c r="BQ16" s="43">
        <f>BO16*BP16</f>
        <v>190</v>
      </c>
      <c r="BR16" s="271">
        <f>BQ16/$BQ$67</f>
        <v>6.4686375259443291E-3</v>
      </c>
      <c r="BS16" s="3" t="s">
        <v>29</v>
      </c>
      <c r="BT16" s="4" t="str">
        <f>'Standard Vorgaben'!B110</f>
        <v>Stickstoff</v>
      </c>
      <c r="BU16" s="501">
        <f>'Standard Vorgaben'!B126</f>
        <v>2</v>
      </c>
      <c r="BV16" s="181">
        <f>'Standard Vorgaben'!B125</f>
        <v>200</v>
      </c>
      <c r="BW16" s="62">
        <f>'Standard Vorgaben'!B111</f>
        <v>0.95</v>
      </c>
      <c r="BX16" s="43">
        <f>BV16*BW16</f>
        <v>190</v>
      </c>
      <c r="BY16" s="271">
        <f>BX16/$BX$67</f>
        <v>6.4680340651893922E-3</v>
      </c>
      <c r="BZ16" s="3" t="s">
        <v>29</v>
      </c>
      <c r="CA16" s="4" t="str">
        <f>'Standard Vorgaben'!B110</f>
        <v>Stickstoff</v>
      </c>
      <c r="CB16" s="501">
        <f>'Standard Vorgaben'!B126</f>
        <v>2</v>
      </c>
      <c r="CC16" s="181">
        <f>'Standard Vorgaben'!B125</f>
        <v>200</v>
      </c>
      <c r="CD16" s="62">
        <f>'Standard Vorgaben'!B111</f>
        <v>0.95</v>
      </c>
      <c r="CE16" s="43">
        <f>CC16*CD16</f>
        <v>190</v>
      </c>
      <c r="CF16" s="271">
        <f>CE16/$CE$67</f>
        <v>6.4674252873954969E-3</v>
      </c>
      <c r="CG16" s="3" t="s">
        <v>29</v>
      </c>
      <c r="CH16" s="4" t="str">
        <f>'Standard Vorgaben'!B110</f>
        <v>Stickstoff</v>
      </c>
      <c r="CI16" s="501">
        <f>'Standard Vorgaben'!B126</f>
        <v>2</v>
      </c>
      <c r="CJ16" s="181">
        <f>'Standard Vorgaben'!B125</f>
        <v>200</v>
      </c>
      <c r="CK16" s="62">
        <f>'Standard Vorgaben'!B111</f>
        <v>0.95</v>
      </c>
      <c r="CL16" s="43">
        <f>CJ16*CK16</f>
        <v>190</v>
      </c>
      <c r="CM16" s="271">
        <f>CL16/$CL$67</f>
        <v>6.466811146739678E-3</v>
      </c>
      <c r="CN16" s="3" t="s">
        <v>29</v>
      </c>
      <c r="CO16" s="4" t="str">
        <f>'Standard Vorgaben'!B110</f>
        <v>Stickstoff</v>
      </c>
      <c r="CP16" s="501">
        <f>'Standard Vorgaben'!B126</f>
        <v>2</v>
      </c>
      <c r="CQ16" s="181">
        <f>'Standard Vorgaben'!B125</f>
        <v>200</v>
      </c>
      <c r="CR16" s="62">
        <f>'Standard Vorgaben'!B111</f>
        <v>0.95</v>
      </c>
      <c r="CS16" s="43">
        <f>CQ16*CR16</f>
        <v>190</v>
      </c>
      <c r="CT16" s="271">
        <f>CS16/$CS$67</f>
        <v>6.4661915970223912E-3</v>
      </c>
      <c r="CU16" s="3" t="s">
        <v>29</v>
      </c>
      <c r="CV16" s="4" t="str">
        <f>'Standard Vorgaben'!$B$110</f>
        <v>Stickstoff</v>
      </c>
      <c r="CW16" s="501">
        <f>'Standard Vorgaben'!$B$126</f>
        <v>2</v>
      </c>
      <c r="CX16" s="181">
        <f>'Standard Vorgaben'!$B$125</f>
        <v>200</v>
      </c>
      <c r="CY16" s="62">
        <f>'Standard Vorgaben'!$B$111</f>
        <v>0.95</v>
      </c>
      <c r="CZ16" s="43">
        <f>CX16*CY16</f>
        <v>190</v>
      </c>
      <c r="DA16" s="271">
        <f>CZ16/$CZ$67</f>
        <v>6.4655665916647526E-3</v>
      </c>
      <c r="DB16" s="3" t="s">
        <v>29</v>
      </c>
      <c r="DC16" s="4" t="str">
        <f>'Standard Vorgaben'!$B$110</f>
        <v>Stickstoff</v>
      </c>
      <c r="DD16" s="501">
        <f>'Standard Vorgaben'!$B$126</f>
        <v>2</v>
      </c>
      <c r="DE16" s="181">
        <f>'Standard Vorgaben'!$B$125</f>
        <v>200</v>
      </c>
      <c r="DF16" s="62">
        <f>'Standard Vorgaben'!$B$111</f>
        <v>0.95</v>
      </c>
      <c r="DG16" s="43">
        <f>DE16*DF16</f>
        <v>190</v>
      </c>
      <c r="DH16" s="271">
        <f>DG16/$DG$67</f>
        <v>6.4649360837057577E-3</v>
      </c>
      <c r="DI16" s="3" t="s">
        <v>29</v>
      </c>
      <c r="DJ16" s="4" t="str">
        <f>'Standard Vorgaben'!$B$110</f>
        <v>Stickstoff</v>
      </c>
      <c r="DK16" s="501">
        <f>'Standard Vorgaben'!$B$126</f>
        <v>2</v>
      </c>
      <c r="DL16" s="181">
        <f>'Standard Vorgaben'!$B$125</f>
        <v>200</v>
      </c>
      <c r="DM16" s="62">
        <f>'Standard Vorgaben'!$B$111</f>
        <v>0.95</v>
      </c>
      <c r="DN16" s="43">
        <f>DL16*DM16</f>
        <v>190</v>
      </c>
      <c r="DO16" s="271">
        <f>DN16/$DN$67</f>
        <v>6.4643000257994876E-3</v>
      </c>
      <c r="DP16" s="3" t="s">
        <v>29</v>
      </c>
      <c r="DQ16" s="4" t="str">
        <f>'Standard Vorgaben'!$B$110</f>
        <v>Stickstoff</v>
      </c>
      <c r="DR16" s="501">
        <f>'Standard Vorgaben'!$B$126</f>
        <v>2</v>
      </c>
      <c r="DS16" s="181">
        <f>'Standard Vorgaben'!$B$125</f>
        <v>200</v>
      </c>
      <c r="DT16" s="62">
        <f>'Standard Vorgaben'!$B$111</f>
        <v>0.95</v>
      </c>
      <c r="DU16" s="43">
        <f>DS16*DT16</f>
        <v>190</v>
      </c>
      <c r="DV16" s="271">
        <f>DU16/$DU$67</f>
        <v>6.4636583702123059E-3</v>
      </c>
      <c r="DW16" s="3" t="s">
        <v>29</v>
      </c>
      <c r="DX16" s="4" t="str">
        <f>'Standard Vorgaben'!$B$110</f>
        <v>Stickstoff</v>
      </c>
      <c r="DY16" s="501">
        <f>'Standard Vorgaben'!$B$126</f>
        <v>2</v>
      </c>
      <c r="DZ16" s="181">
        <f>'Standard Vorgaben'!$B$125</f>
        <v>200</v>
      </c>
      <c r="EA16" s="62">
        <f>'Standard Vorgaben'!$B$111</f>
        <v>0.95</v>
      </c>
      <c r="EB16" s="43">
        <f>DZ16*EA16</f>
        <v>190</v>
      </c>
      <c r="EC16" s="271">
        <f>EB16/$EB$67</f>
        <v>6.4630110688200289E-3</v>
      </c>
      <c r="ED16" s="3" t="s">
        <v>29</v>
      </c>
      <c r="EE16" s="4" t="str">
        <f>'Standard Vorgaben'!$B$110</f>
        <v>Stickstoff</v>
      </c>
      <c r="EF16" s="501">
        <f>'Standard Vorgaben'!$B$126</f>
        <v>2</v>
      </c>
      <c r="EG16" s="181">
        <f>'Standard Vorgaben'!$B$125</f>
        <v>200</v>
      </c>
      <c r="EH16" s="62">
        <f>'Standard Vorgaben'!$B$111</f>
        <v>0.95</v>
      </c>
      <c r="EI16" s="43">
        <f>EG16*EH16</f>
        <v>190</v>
      </c>
      <c r="EJ16" s="271">
        <f>EI16/$EI$67</f>
        <v>5.367075092487311E-3</v>
      </c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</row>
    <row r="17" spans="1:140" s="1" customFormat="1" x14ac:dyDescent="0.2">
      <c r="A17" s="3"/>
      <c r="B17" s="4" t="str">
        <f>'Standard Vorgaben'!C110</f>
        <v>Gurnddüngung</v>
      </c>
      <c r="C17" s="850">
        <f>'Standard Vorgaben'!C116</f>
        <v>0</v>
      </c>
      <c r="D17" s="181">
        <f>'Standard Vorgaben'!C115</f>
        <v>50</v>
      </c>
      <c r="E17" s="62">
        <f>'Standard Vorgaben'!C111</f>
        <v>0.43</v>
      </c>
      <c r="F17" s="60">
        <f>D17*E17</f>
        <v>21.5</v>
      </c>
      <c r="G17" s="271">
        <f>F17/$F$67</f>
        <v>2.117428076509009E-3</v>
      </c>
      <c r="H17" s="3"/>
      <c r="I17" s="4" t="str">
        <f>'Standard Vorgaben'!C110</f>
        <v>Gurnddüngung</v>
      </c>
      <c r="J17" s="850">
        <f>'Standard Vorgaben'!C118</f>
        <v>0</v>
      </c>
      <c r="K17" s="192">
        <f>'Standard Vorgaben'!C117</f>
        <v>125</v>
      </c>
      <c r="L17" s="59">
        <f>'Standard Vorgaben'!C111</f>
        <v>0.43</v>
      </c>
      <c r="M17" s="60">
        <f>K17*L17</f>
        <v>53.75</v>
      </c>
      <c r="N17" s="271">
        <f>M17/$M$67</f>
        <v>4.319162016565575E-3</v>
      </c>
      <c r="O17" s="3"/>
      <c r="P17" s="4" t="str">
        <f>'Standard Vorgaben'!C110</f>
        <v>Gurnddüngung</v>
      </c>
      <c r="Q17" s="850">
        <f>'Standard Vorgaben'!C120</f>
        <v>1</v>
      </c>
      <c r="R17" s="181">
        <f>'Standard Vorgaben'!C119</f>
        <v>200</v>
      </c>
      <c r="S17" s="62">
        <f>'Standard Vorgaben'!C111</f>
        <v>0.43</v>
      </c>
      <c r="T17" s="60">
        <f>R17*S17</f>
        <v>86</v>
      </c>
      <c r="U17" s="271">
        <f>T17/$T$67</f>
        <v>4.6876233051252273E-3</v>
      </c>
      <c r="V17" s="3"/>
      <c r="W17" s="4" t="str">
        <f>'Standard Vorgaben'!C110</f>
        <v>Gurnddüngung</v>
      </c>
      <c r="X17" s="850">
        <f>'Standard Vorgaben'!C122</f>
        <v>1</v>
      </c>
      <c r="Y17" s="181">
        <f>'Standard Vorgaben'!C121</f>
        <v>400</v>
      </c>
      <c r="Z17" s="62">
        <f>'Standard Vorgaben'!C111</f>
        <v>0.43</v>
      </c>
      <c r="AA17" s="60">
        <f>Y17*Z17</f>
        <v>172</v>
      </c>
      <c r="AB17" s="271">
        <f>AA17/$AA$67</f>
        <v>8.4540664612217428E-3</v>
      </c>
      <c r="AC17" s="3"/>
      <c r="AD17" s="4" t="str">
        <f>'Standard Vorgaben'!C110</f>
        <v>Gurnddüngung</v>
      </c>
      <c r="AE17" s="850">
        <f>'Standard Vorgaben'!C124</f>
        <v>1</v>
      </c>
      <c r="AF17" s="181">
        <f>'Standard Vorgaben'!C123</f>
        <v>400</v>
      </c>
      <c r="AG17" s="62">
        <f>'Standard Vorgaben'!C111</f>
        <v>0.43</v>
      </c>
      <c r="AH17" s="60">
        <f>AF17*AG17</f>
        <v>172</v>
      </c>
      <c r="AI17" s="271">
        <f>AH17/$AH$67</f>
        <v>6.4704164897312483E-3</v>
      </c>
      <c r="AJ17" s="3"/>
      <c r="AK17" s="4" t="str">
        <f>'Standard Vorgaben'!C110</f>
        <v>Gurnddüngung</v>
      </c>
      <c r="AL17" s="850">
        <f>'Standard Vorgaben'!C126</f>
        <v>1</v>
      </c>
      <c r="AM17" s="181">
        <f>'Standard Vorgaben'!C125</f>
        <v>400</v>
      </c>
      <c r="AN17" s="62">
        <f>'Standard Vorgaben'!C111</f>
        <v>0.43</v>
      </c>
      <c r="AO17" s="60">
        <f>AM17*AN17</f>
        <v>172</v>
      </c>
      <c r="AP17" s="271">
        <f>AO17/$AO$67</f>
        <v>5.8579570818171412E-3</v>
      </c>
      <c r="AQ17" s="3"/>
      <c r="AR17" s="4" t="str">
        <f>'Standard Vorgaben'!C110</f>
        <v>Gurnddüngung</v>
      </c>
      <c r="AS17" s="850">
        <f>'Standard Vorgaben'!C126</f>
        <v>1</v>
      </c>
      <c r="AT17" s="181">
        <f>'Standard Vorgaben'!C125</f>
        <v>400</v>
      </c>
      <c r="AU17" s="62">
        <f>'Standard Vorgaben'!C111</f>
        <v>0.43</v>
      </c>
      <c r="AV17" s="60">
        <f>AT17*AU17</f>
        <v>172</v>
      </c>
      <c r="AW17" s="271">
        <f>AV17/$AV$67</f>
        <v>5.8574296362190652E-3</v>
      </c>
      <c r="AX17" s="3"/>
      <c r="AY17" s="4" t="str">
        <f>'Standard Vorgaben'!C110</f>
        <v>Gurnddüngung</v>
      </c>
      <c r="AZ17" s="850">
        <f>'Standard Vorgaben'!C126</f>
        <v>1</v>
      </c>
      <c r="BA17" s="181">
        <f>'Standard Vorgaben'!C125</f>
        <v>400</v>
      </c>
      <c r="BB17" s="62">
        <f>'Standard Vorgaben'!C111</f>
        <v>0.43</v>
      </c>
      <c r="BC17" s="60">
        <f>BA17*BB17</f>
        <v>172</v>
      </c>
      <c r="BD17" s="271">
        <f>BC17/$BC$67</f>
        <v>5.8568975398694883E-3</v>
      </c>
      <c r="BE17" s="3"/>
      <c r="BF17" s="4" t="str">
        <f>'Standard Vorgaben'!C110</f>
        <v>Gurnddüngung</v>
      </c>
      <c r="BG17" s="850">
        <f>'Standard Vorgaben'!C126</f>
        <v>1</v>
      </c>
      <c r="BH17" s="181">
        <f>'Standard Vorgaben'!C125</f>
        <v>400</v>
      </c>
      <c r="BI17" s="62">
        <f>'Standard Vorgaben'!C111</f>
        <v>0.43</v>
      </c>
      <c r="BJ17" s="60">
        <f>BH17*BI17</f>
        <v>172</v>
      </c>
      <c r="BK17" s="271">
        <f>BJ17/$BJ$67</f>
        <v>5.8563607526253966E-3</v>
      </c>
      <c r="BL17" s="3"/>
      <c r="BM17" s="4" t="str">
        <f>'Standard Vorgaben'!C110</f>
        <v>Gurnddüngung</v>
      </c>
      <c r="BN17" s="850">
        <f>'Standard Vorgaben'!C126</f>
        <v>1</v>
      </c>
      <c r="BO17" s="181">
        <f>'Standard Vorgaben'!C125</f>
        <v>400</v>
      </c>
      <c r="BP17" s="62">
        <f>'Standard Vorgaben'!C111</f>
        <v>0.43</v>
      </c>
      <c r="BQ17" s="60">
        <f>BO17*BP17</f>
        <v>172</v>
      </c>
      <c r="BR17" s="271">
        <f>BQ17/$BQ$67</f>
        <v>5.8558192340127614E-3</v>
      </c>
      <c r="BS17" s="3"/>
      <c r="BT17" s="4" t="str">
        <f>'Standard Vorgaben'!C110</f>
        <v>Gurnddüngung</v>
      </c>
      <c r="BU17" s="850">
        <f>'Standard Vorgaben'!C126</f>
        <v>1</v>
      </c>
      <c r="BV17" s="181">
        <f>'Standard Vorgaben'!C125</f>
        <v>400</v>
      </c>
      <c r="BW17" s="62">
        <f>'Standard Vorgaben'!C111</f>
        <v>0.43</v>
      </c>
      <c r="BX17" s="60">
        <f>BV17*BW17</f>
        <v>172</v>
      </c>
      <c r="BY17" s="271">
        <f>BX17/$BX$67</f>
        <v>5.8552729432240812E-3</v>
      </c>
      <c r="BZ17" s="3"/>
      <c r="CA17" s="4" t="str">
        <f>'Standard Vorgaben'!C110</f>
        <v>Gurnddüngung</v>
      </c>
      <c r="CB17" s="850">
        <f>'Standard Vorgaben'!C126</f>
        <v>1</v>
      </c>
      <c r="CC17" s="181">
        <f>'Standard Vorgaben'!C125</f>
        <v>400</v>
      </c>
      <c r="CD17" s="62">
        <f>'Standard Vorgaben'!C111</f>
        <v>0.43</v>
      </c>
      <c r="CE17" s="60">
        <f>CC17*CD17</f>
        <v>172</v>
      </c>
      <c r="CF17" s="271">
        <f>CE17/$CE$67</f>
        <v>5.8547218391159237E-3</v>
      </c>
      <c r="CG17" s="3"/>
      <c r="CH17" s="4" t="str">
        <f>'Standard Vorgaben'!C110</f>
        <v>Gurnddüngung</v>
      </c>
      <c r="CI17" s="850">
        <f>'Standard Vorgaben'!C126</f>
        <v>1</v>
      </c>
      <c r="CJ17" s="181">
        <f>'Standard Vorgaben'!C125</f>
        <v>400</v>
      </c>
      <c r="CK17" s="62">
        <f>'Standard Vorgaben'!C111</f>
        <v>0.43</v>
      </c>
      <c r="CL17" s="60">
        <f>CJ17*CK17</f>
        <v>172</v>
      </c>
      <c r="CM17" s="271">
        <f>CL17/$CL$67</f>
        <v>5.8541658802064456E-3</v>
      </c>
      <c r="CN17" s="3"/>
      <c r="CO17" s="4" t="str">
        <f>'Standard Vorgaben'!C110</f>
        <v>Gurnddüngung</v>
      </c>
      <c r="CP17" s="850">
        <f>'Standard Vorgaben'!C126</f>
        <v>1</v>
      </c>
      <c r="CQ17" s="181">
        <f>'Standard Vorgaben'!C125</f>
        <v>400</v>
      </c>
      <c r="CR17" s="62">
        <f>'Standard Vorgaben'!C111</f>
        <v>0.43</v>
      </c>
      <c r="CS17" s="60">
        <f>CQ17*CR17</f>
        <v>172</v>
      </c>
      <c r="CT17" s="271">
        <f>CS17/$CS$67</f>
        <v>5.8536050246729022E-3</v>
      </c>
      <c r="CU17" s="3"/>
      <c r="CV17" s="4" t="str">
        <f>'Standard Vorgaben'!$C$110</f>
        <v>Gurnddüngung</v>
      </c>
      <c r="CW17" s="850">
        <f>'Standard Vorgaben'!$C$126</f>
        <v>1</v>
      </c>
      <c r="CX17" s="181">
        <f>'Standard Vorgaben'!$C$125</f>
        <v>400</v>
      </c>
      <c r="CY17" s="62">
        <f>'Standard Vorgaben'!$C$111</f>
        <v>0.43</v>
      </c>
      <c r="CZ17" s="60">
        <f>CX17*CY17</f>
        <v>172</v>
      </c>
      <c r="DA17" s="271">
        <f>CZ17/$CZ$67</f>
        <v>5.8530392303491451E-3</v>
      </c>
      <c r="DB17" s="3"/>
      <c r="DC17" s="4" t="str">
        <f>'Standard Vorgaben'!$C$110</f>
        <v>Gurnddüngung</v>
      </c>
      <c r="DD17" s="850">
        <f>'Standard Vorgaben'!$C$126</f>
        <v>1</v>
      </c>
      <c r="DE17" s="181">
        <f>'Standard Vorgaben'!$C$125</f>
        <v>400</v>
      </c>
      <c r="DF17" s="62">
        <f>'Standard Vorgaben'!$C$111</f>
        <v>0.43</v>
      </c>
      <c r="DG17" s="60">
        <f>DE17*DF17</f>
        <v>172</v>
      </c>
      <c r="DH17" s="271">
        <f>DG17/$DG$67</f>
        <v>5.8524684547231068E-3</v>
      </c>
      <c r="DI17" s="3"/>
      <c r="DJ17" s="4" t="str">
        <f>'Standard Vorgaben'!$C$110</f>
        <v>Gurnddüngung</v>
      </c>
      <c r="DK17" s="850">
        <f>'Standard Vorgaben'!$C$126</f>
        <v>1</v>
      </c>
      <c r="DL17" s="181">
        <f>'Standard Vorgaben'!$C$125</f>
        <v>400</v>
      </c>
      <c r="DM17" s="62">
        <f>'Standard Vorgaben'!$C$111</f>
        <v>0.43</v>
      </c>
      <c r="DN17" s="60">
        <f>DL17*DM17</f>
        <v>172</v>
      </c>
      <c r="DO17" s="271">
        <f>DN17/$DN$67</f>
        <v>5.8518926549342735E-3</v>
      </c>
      <c r="DP17" s="3"/>
      <c r="DQ17" s="4" t="str">
        <f>'Standard Vorgaben'!$C$110</f>
        <v>Gurnddüngung</v>
      </c>
      <c r="DR17" s="850">
        <f>'Standard Vorgaben'!$C$126</f>
        <v>1</v>
      </c>
      <c r="DS17" s="181">
        <f>'Standard Vorgaben'!$C$125</f>
        <v>400</v>
      </c>
      <c r="DT17" s="62">
        <f>'Standard Vorgaben'!$C$111</f>
        <v>0.43</v>
      </c>
      <c r="DU17" s="60">
        <f>DS17*DT17</f>
        <v>172</v>
      </c>
      <c r="DV17" s="271">
        <f>DU17/$DU$67</f>
        <v>5.8513117877711397E-3</v>
      </c>
      <c r="DW17" s="3"/>
      <c r="DX17" s="4" t="str">
        <f>'Standard Vorgaben'!$C$110</f>
        <v>Gurnddüngung</v>
      </c>
      <c r="DY17" s="850">
        <f>'Standard Vorgaben'!$C$126</f>
        <v>1</v>
      </c>
      <c r="DZ17" s="181">
        <f>'Standard Vorgaben'!$C$125</f>
        <v>400</v>
      </c>
      <c r="EA17" s="62">
        <f>'Standard Vorgaben'!$C$111</f>
        <v>0.43</v>
      </c>
      <c r="EB17" s="60">
        <f>DZ17*EA17</f>
        <v>172</v>
      </c>
      <c r="EC17" s="271">
        <f>EB17/$EB$67</f>
        <v>5.8507258096686578E-3</v>
      </c>
      <c r="ED17" s="3"/>
      <c r="EE17" s="4" t="str">
        <f>'Standard Vorgaben'!$C$110</f>
        <v>Gurnddüngung</v>
      </c>
      <c r="EF17" s="850">
        <f>'Standard Vorgaben'!$C$126</f>
        <v>1</v>
      </c>
      <c r="EG17" s="181">
        <f>'Standard Vorgaben'!$C$125</f>
        <v>400</v>
      </c>
      <c r="EH17" s="62">
        <f>'Standard Vorgaben'!$C$111</f>
        <v>0.43</v>
      </c>
      <c r="EI17" s="60">
        <f>EG17*EH17</f>
        <v>172</v>
      </c>
      <c r="EJ17" s="271">
        <f>EI17/$EI$67</f>
        <v>4.8586153468832506E-3</v>
      </c>
    </row>
    <row r="18" spans="1:140" s="1" customFormat="1" x14ac:dyDescent="0.2">
      <c r="A18" s="3"/>
      <c r="B18" s="4" t="str">
        <f>'Standard Vorgaben'!$D$110</f>
        <v>Hühnermist</v>
      </c>
      <c r="C18" s="502">
        <f>'Standard Vorgaben'!D116</f>
        <v>0</v>
      </c>
      <c r="D18" s="192">
        <f>'Standard Vorgaben'!D115</f>
        <v>0</v>
      </c>
      <c r="E18" s="59">
        <f>'Standard Vorgaben'!$D$111</f>
        <v>0.35</v>
      </c>
      <c r="F18" s="118">
        <f>C18*D18*E18</f>
        <v>0</v>
      </c>
      <c r="G18" s="271"/>
      <c r="H18" s="3"/>
      <c r="I18" s="4" t="str">
        <f>'Standard Vorgaben'!$D$110</f>
        <v>Hühnermist</v>
      </c>
      <c r="J18" s="502">
        <f>'Standard Vorgaben'!D118</f>
        <v>0</v>
      </c>
      <c r="K18" s="192">
        <f>'Standard Vorgaben'!K117</f>
        <v>0</v>
      </c>
      <c r="L18" s="59">
        <f>'Standard Vorgaben'!$D$111</f>
        <v>0.35</v>
      </c>
      <c r="M18" s="118">
        <f>J18*K18*L18</f>
        <v>0</v>
      </c>
      <c r="N18" s="271"/>
      <c r="O18" s="3"/>
      <c r="P18" s="4" t="str">
        <f>'Standard Vorgaben'!$D$110</f>
        <v>Hühnermist</v>
      </c>
      <c r="Q18" s="502">
        <f>'Standard Vorgaben'!K119</f>
        <v>0</v>
      </c>
      <c r="R18" s="192">
        <f>'Standard Vorgaben'!L120</f>
        <v>0</v>
      </c>
      <c r="S18" s="59">
        <f>'Standard Vorgaben'!$D$111</f>
        <v>0.35</v>
      </c>
      <c r="T18" s="118">
        <f>Q18*R18*S18</f>
        <v>0</v>
      </c>
      <c r="U18" s="271"/>
      <c r="V18" s="3"/>
      <c r="W18" s="4" t="str">
        <f>'Standard Vorgaben'!$D$110</f>
        <v>Hühnermist</v>
      </c>
      <c r="X18" s="502">
        <f>'Standard Vorgaben'!D122</f>
        <v>0</v>
      </c>
      <c r="Y18" s="192">
        <f>'Standard Vorgaben'!D121</f>
        <v>0</v>
      </c>
      <c r="Z18" s="59">
        <f>'Standard Vorgaben'!$D$111</f>
        <v>0.35</v>
      </c>
      <c r="AA18" s="118">
        <f>X18*Y18*Z18</f>
        <v>0</v>
      </c>
      <c r="AB18" s="271"/>
      <c r="AC18" s="3"/>
      <c r="AD18" s="4" t="str">
        <f>'Standard Vorgaben'!$D$110</f>
        <v>Hühnermist</v>
      </c>
      <c r="AE18" s="502">
        <f>'Standard Vorgaben'!D124</f>
        <v>0</v>
      </c>
      <c r="AF18" s="192">
        <f>'Standard Vorgaben'!D122</f>
        <v>0</v>
      </c>
      <c r="AG18" s="59">
        <f>'Standard Vorgaben'!$D$111</f>
        <v>0.35</v>
      </c>
      <c r="AH18" s="118">
        <f>AE18*AF18*AG18</f>
        <v>0</v>
      </c>
      <c r="AI18" s="271">
        <f>AH18/$AH$67</f>
        <v>0</v>
      </c>
      <c r="AJ18" s="3"/>
      <c r="AK18" s="4" t="str">
        <f>'Standard Vorgaben'!$D$110</f>
        <v>Hühnermist</v>
      </c>
      <c r="AL18" s="502">
        <f>'Standard Vorgaben'!$D$126</f>
        <v>1</v>
      </c>
      <c r="AM18" s="192">
        <f>'Standard Vorgaben'!$D$125</f>
        <v>1000</v>
      </c>
      <c r="AN18" s="59">
        <f>'Standard Vorgaben'!$D$111</f>
        <v>0.35</v>
      </c>
      <c r="AO18" s="118">
        <f>AL18*AM18*AN18</f>
        <v>350</v>
      </c>
      <c r="AP18" s="271">
        <f>AO18/$AO$67</f>
        <v>1.192026150369767E-2</v>
      </c>
      <c r="AQ18" s="3"/>
      <c r="AR18" s="4" t="str">
        <f>'Standard Vorgaben'!$D$110</f>
        <v>Hühnermist</v>
      </c>
      <c r="AS18" s="502">
        <f>'Standard Vorgaben'!$D$126</f>
        <v>1</v>
      </c>
      <c r="AT18" s="192">
        <f>'Standard Vorgaben'!$D$125</f>
        <v>1000</v>
      </c>
      <c r="AU18" s="59">
        <f>'Standard Vorgaben'!$D$111</f>
        <v>0.35</v>
      </c>
      <c r="AV18" s="118">
        <f>AS18*AT18*AU18</f>
        <v>350</v>
      </c>
      <c r="AW18" s="271"/>
      <c r="AX18" s="3"/>
      <c r="AY18" s="4" t="str">
        <f>'Standard Vorgaben'!$D$110</f>
        <v>Hühnermist</v>
      </c>
      <c r="AZ18" s="502">
        <f>'Standard Vorgaben'!$D$126</f>
        <v>1</v>
      </c>
      <c r="BA18" s="192">
        <f>'Standard Vorgaben'!$D$125</f>
        <v>1000</v>
      </c>
      <c r="BB18" s="59">
        <f>'Standard Vorgaben'!$D$111</f>
        <v>0.35</v>
      </c>
      <c r="BC18" s="118">
        <f>AZ18*BA18*BB18</f>
        <v>350</v>
      </c>
      <c r="BD18" s="271"/>
      <c r="BE18" s="3"/>
      <c r="BF18" s="4" t="str">
        <f>'Standard Vorgaben'!$D$110</f>
        <v>Hühnermist</v>
      </c>
      <c r="BG18" s="502">
        <f>'Standard Vorgaben'!$D$126</f>
        <v>1</v>
      </c>
      <c r="BH18" s="192">
        <f>'Standard Vorgaben'!$D$125</f>
        <v>1000</v>
      </c>
      <c r="BI18" s="59">
        <f>'Standard Vorgaben'!$D$111</f>
        <v>0.35</v>
      </c>
      <c r="BJ18" s="118">
        <f>BG18*BH18*BI18</f>
        <v>350</v>
      </c>
      <c r="BK18" s="271"/>
      <c r="BL18" s="3"/>
      <c r="BM18" s="4" t="str">
        <f>'Standard Vorgaben'!$D$110</f>
        <v>Hühnermist</v>
      </c>
      <c r="BN18" s="502">
        <f>'Standard Vorgaben'!$D$126</f>
        <v>1</v>
      </c>
      <c r="BO18" s="192">
        <f>'Standard Vorgaben'!$D$125</f>
        <v>1000</v>
      </c>
      <c r="BP18" s="59">
        <f>'Standard Vorgaben'!$D$111</f>
        <v>0.35</v>
      </c>
      <c r="BQ18" s="118">
        <f>BN18*BO18*BP18</f>
        <v>350</v>
      </c>
      <c r="BR18" s="271"/>
      <c r="BS18" s="3"/>
      <c r="BT18" s="4" t="str">
        <f>'Standard Vorgaben'!$D$110</f>
        <v>Hühnermist</v>
      </c>
      <c r="BU18" s="502">
        <f>'Standard Vorgaben'!$D$126</f>
        <v>1</v>
      </c>
      <c r="BV18" s="192">
        <f>'Standard Vorgaben'!$D$125</f>
        <v>1000</v>
      </c>
      <c r="BW18" s="59">
        <f>'Standard Vorgaben'!$D$111</f>
        <v>0.35</v>
      </c>
      <c r="BX18" s="118">
        <f>BU18*BV18*BW18</f>
        <v>350</v>
      </c>
      <c r="BY18" s="271"/>
      <c r="BZ18" s="3"/>
      <c r="CA18" s="4" t="str">
        <f>'Standard Vorgaben'!$D$110</f>
        <v>Hühnermist</v>
      </c>
      <c r="CB18" s="502">
        <f>'Standard Vorgaben'!$D$126</f>
        <v>1</v>
      </c>
      <c r="CC18" s="192">
        <f>'Standard Vorgaben'!$D$125</f>
        <v>1000</v>
      </c>
      <c r="CD18" s="59">
        <f>'Standard Vorgaben'!$D$111</f>
        <v>0.35</v>
      </c>
      <c r="CE18" s="118">
        <f>CB18*CC18*CD18</f>
        <v>350</v>
      </c>
      <c r="CF18" s="271"/>
      <c r="CG18" s="3"/>
      <c r="CH18" s="4" t="str">
        <f>'Standard Vorgaben'!$D$110</f>
        <v>Hühnermist</v>
      </c>
      <c r="CI18" s="502">
        <f>'Standard Vorgaben'!$D$126</f>
        <v>1</v>
      </c>
      <c r="CJ18" s="192">
        <f>'Standard Vorgaben'!$D$125</f>
        <v>1000</v>
      </c>
      <c r="CK18" s="59">
        <f>'Standard Vorgaben'!$D$111</f>
        <v>0.35</v>
      </c>
      <c r="CL18" s="118">
        <f>CI18*CJ18*CK18</f>
        <v>350</v>
      </c>
      <c r="CM18" s="271"/>
      <c r="CN18" s="3"/>
      <c r="CO18" s="4" t="str">
        <f>'Standard Vorgaben'!$D$110</f>
        <v>Hühnermist</v>
      </c>
      <c r="CP18" s="502">
        <f>'Standard Vorgaben'!$D$126</f>
        <v>1</v>
      </c>
      <c r="CQ18" s="192">
        <f>'Standard Vorgaben'!$D$125</f>
        <v>1000</v>
      </c>
      <c r="CR18" s="59">
        <f>'Standard Vorgaben'!$D$111</f>
        <v>0.35</v>
      </c>
      <c r="CS18" s="118">
        <f>CP18*CQ18*CR18</f>
        <v>350</v>
      </c>
      <c r="CT18" s="271"/>
      <c r="CU18" s="3"/>
      <c r="CV18" s="4" t="str">
        <f>'Standard Vorgaben'!$D$110</f>
        <v>Hühnermist</v>
      </c>
      <c r="CW18" s="502">
        <f>'Standard Vorgaben'!$D$126</f>
        <v>1</v>
      </c>
      <c r="CX18" s="192">
        <f>'Standard Vorgaben'!$D$125</f>
        <v>1000</v>
      </c>
      <c r="CY18" s="59">
        <f>'Standard Vorgaben'!$D$111</f>
        <v>0.35</v>
      </c>
      <c r="CZ18" s="118">
        <f>CW18*CX18*CY18</f>
        <v>350</v>
      </c>
      <c r="DA18" s="271"/>
      <c r="DB18" s="3"/>
      <c r="DC18" s="4" t="str">
        <f>'Standard Vorgaben'!$D$110</f>
        <v>Hühnermist</v>
      </c>
      <c r="DD18" s="502">
        <f>'Standard Vorgaben'!$D$126</f>
        <v>1</v>
      </c>
      <c r="DE18" s="192">
        <f>'Standard Vorgaben'!$D$125</f>
        <v>1000</v>
      </c>
      <c r="DF18" s="59">
        <f>'Standard Vorgaben'!$D$111</f>
        <v>0.35</v>
      </c>
      <c r="DG18" s="118">
        <f>DD18*DE18*DF18</f>
        <v>350</v>
      </c>
      <c r="DH18" s="271"/>
      <c r="DI18" s="3"/>
      <c r="DJ18" s="4" t="str">
        <f>'Standard Vorgaben'!$D$110</f>
        <v>Hühnermist</v>
      </c>
      <c r="DK18" s="502">
        <f>'Standard Vorgaben'!$D$126</f>
        <v>1</v>
      </c>
      <c r="DL18" s="192">
        <f>'Standard Vorgaben'!$D$125</f>
        <v>1000</v>
      </c>
      <c r="DM18" s="59">
        <f>'Standard Vorgaben'!$D$111</f>
        <v>0.35</v>
      </c>
      <c r="DN18" s="118">
        <f>DK18*DL18*DM18</f>
        <v>350</v>
      </c>
      <c r="DO18" s="271"/>
      <c r="DP18" s="3"/>
      <c r="DQ18" s="4" t="str">
        <f>'Standard Vorgaben'!$D$110</f>
        <v>Hühnermist</v>
      </c>
      <c r="DR18" s="502">
        <f>'Standard Vorgaben'!$D$126</f>
        <v>1</v>
      </c>
      <c r="DS18" s="192">
        <f>'Standard Vorgaben'!$D$125</f>
        <v>1000</v>
      </c>
      <c r="DT18" s="59">
        <f>'Standard Vorgaben'!$D$111</f>
        <v>0.35</v>
      </c>
      <c r="DU18" s="118">
        <f>DR18*DS18*DT18</f>
        <v>350</v>
      </c>
      <c r="DV18" s="271"/>
      <c r="DW18" s="3"/>
      <c r="DX18" s="4" t="str">
        <f>'Standard Vorgaben'!$D$110</f>
        <v>Hühnermist</v>
      </c>
      <c r="DY18" s="502">
        <f>'Standard Vorgaben'!$D$126</f>
        <v>1</v>
      </c>
      <c r="DZ18" s="192">
        <f>'Standard Vorgaben'!$D$125</f>
        <v>1000</v>
      </c>
      <c r="EA18" s="59">
        <f>'Standard Vorgaben'!$D$111</f>
        <v>0.35</v>
      </c>
      <c r="EB18" s="118">
        <f>DY18*DZ18*EA18</f>
        <v>350</v>
      </c>
      <c r="EC18" s="271">
        <f>EB18/$EB$67</f>
        <v>1.1905546705721106E-2</v>
      </c>
      <c r="ED18" s="3"/>
      <c r="EE18" s="4" t="str">
        <f>'Standard Vorgaben'!$D$110</f>
        <v>Hühnermist</v>
      </c>
      <c r="EF18" s="502">
        <f>'Standard Vorgaben'!$D$126</f>
        <v>1</v>
      </c>
      <c r="EG18" s="192">
        <f>'Standard Vorgaben'!$D$125</f>
        <v>1000</v>
      </c>
      <c r="EH18" s="59">
        <f>'Standard Vorgaben'!$D$111</f>
        <v>0.35</v>
      </c>
      <c r="EI18" s="118">
        <f>EF18*EG18*EH18</f>
        <v>350</v>
      </c>
      <c r="EJ18" s="271">
        <f>EI18/$EI$67</f>
        <v>9.8867172756345201E-3</v>
      </c>
    </row>
    <row r="19" spans="1:140" s="1" customFormat="1" x14ac:dyDescent="0.2">
      <c r="A19" s="3"/>
      <c r="B19" s="4"/>
      <c r="C19" s="46">
        <f>SUM(C16:C18)</f>
        <v>0</v>
      </c>
      <c r="D19" s="46"/>
      <c r="E19" s="62"/>
      <c r="F19" s="77">
        <f>SUM(F16:F18)</f>
        <v>69</v>
      </c>
      <c r="G19" s="926">
        <f>F19/$F$67</f>
        <v>6.7954668501917026E-3</v>
      </c>
      <c r="H19" s="3"/>
      <c r="I19" s="4"/>
      <c r="J19" s="46">
        <f>SUM(J16:J18)</f>
        <v>1</v>
      </c>
      <c r="K19" s="46"/>
      <c r="L19" s="62"/>
      <c r="M19" s="77">
        <f>SUM(M16:M18)</f>
        <v>148.75</v>
      </c>
      <c r="N19" s="926">
        <f>M19/$M$67</f>
        <v>1.1953029766774498E-2</v>
      </c>
      <c r="O19" s="3"/>
      <c r="P19" s="4"/>
      <c r="Q19" s="46">
        <f>SUM(Q16:Q18)</f>
        <v>2</v>
      </c>
      <c r="R19" s="46"/>
      <c r="S19" s="62"/>
      <c r="T19" s="77">
        <f>SUM(T16:T18)</f>
        <v>228.5</v>
      </c>
      <c r="U19" s="926">
        <f>T19/$T$67</f>
        <v>1.2454906107222261E-2</v>
      </c>
      <c r="V19" s="3"/>
      <c r="W19" s="4"/>
      <c r="X19" s="46">
        <f>SUM(X16:X18)</f>
        <v>3</v>
      </c>
      <c r="Y19" s="46"/>
      <c r="Z19" s="62"/>
      <c r="AA19" s="77">
        <f>SUM(AA16:AA18)</f>
        <v>362</v>
      </c>
      <c r="AB19" s="926">
        <f>AA19/$AA$67</f>
        <v>1.7792860807920179E-2</v>
      </c>
      <c r="AC19" s="3"/>
      <c r="AD19" s="4"/>
      <c r="AE19" s="46">
        <f>SUM(AE16:AE18)</f>
        <v>3</v>
      </c>
      <c r="AF19" s="46"/>
      <c r="AG19" s="62"/>
      <c r="AH19" s="77">
        <f>SUM(AH16:AH18)</f>
        <v>362</v>
      </c>
      <c r="AI19" s="926">
        <f>AH19/$AH$67</f>
        <v>1.3617969588852977E-2</v>
      </c>
      <c r="AJ19" s="3"/>
      <c r="AK19" s="4"/>
      <c r="AL19" s="46">
        <f>SUM(AL16:AL18)</f>
        <v>4</v>
      </c>
      <c r="AM19" s="46"/>
      <c r="AN19" s="62"/>
      <c r="AO19" s="77">
        <f>SUM(AO16:AO18)</f>
        <v>712</v>
      </c>
      <c r="AP19" s="271">
        <f>AO19/$AO$67</f>
        <v>2.4249217687522119E-2</v>
      </c>
      <c r="AQ19" s="3"/>
      <c r="AR19" s="4"/>
      <c r="AS19" s="46">
        <f>SUM(AS16:AS18)</f>
        <v>4</v>
      </c>
      <c r="AT19" s="46"/>
      <c r="AU19" s="62"/>
      <c r="AV19" s="77">
        <f>SUM(AV16:AV18)</f>
        <v>712</v>
      </c>
      <c r="AW19" s="926">
        <f>AV19/$AV$67</f>
        <v>2.4247034308069619E-2</v>
      </c>
      <c r="AX19" s="3"/>
      <c r="AY19" s="4"/>
      <c r="AZ19" s="46">
        <f>SUM(AZ16:AZ18)</f>
        <v>4</v>
      </c>
      <c r="BA19" s="46"/>
      <c r="BB19" s="62"/>
      <c r="BC19" s="77">
        <f>SUM(BC16:BC18)</f>
        <v>712</v>
      </c>
      <c r="BD19" s="926">
        <f>BC19/$BC$67</f>
        <v>2.4244831676669045E-2</v>
      </c>
      <c r="BE19" s="3"/>
      <c r="BF19" s="4"/>
      <c r="BG19" s="46">
        <f>SUM(BG16:BG18)</f>
        <v>4</v>
      </c>
      <c r="BH19" s="46"/>
      <c r="BI19" s="62"/>
      <c r="BJ19" s="77">
        <f>SUM(BJ16:BJ18)</f>
        <v>712</v>
      </c>
      <c r="BK19" s="926">
        <f>BJ19/$BJ$67</f>
        <v>2.4242609627146989E-2</v>
      </c>
      <c r="BL19" s="3"/>
      <c r="BM19" s="4"/>
      <c r="BN19" s="46">
        <f>SUM(BN16:BN18)</f>
        <v>4</v>
      </c>
      <c r="BO19" s="46"/>
      <c r="BP19" s="62"/>
      <c r="BQ19" s="77">
        <f>SUM(BQ16:BQ18)</f>
        <v>712</v>
      </c>
      <c r="BR19" s="926">
        <f>BQ19/$BQ$67</f>
        <v>2.4240367991959801E-2</v>
      </c>
      <c r="BS19" s="3"/>
      <c r="BT19" s="4"/>
      <c r="BU19" s="46">
        <f>SUM(BU16:BU18)</f>
        <v>4</v>
      </c>
      <c r="BV19" s="46"/>
      <c r="BW19" s="62"/>
      <c r="BX19" s="77">
        <f>SUM(BX16:BX18)</f>
        <v>712</v>
      </c>
      <c r="BY19" s="926">
        <f>BX19/$BX$67</f>
        <v>2.4238106602183406E-2</v>
      </c>
      <c r="BZ19" s="3"/>
      <c r="CA19" s="4"/>
      <c r="CB19" s="46">
        <f>SUM(CB16:CB18)</f>
        <v>4</v>
      </c>
      <c r="CC19" s="46"/>
      <c r="CD19" s="62"/>
      <c r="CE19" s="77">
        <f>SUM(CE16:CE18)</f>
        <v>712</v>
      </c>
      <c r="CF19" s="926">
        <f>CE19/$CE$67</f>
        <v>2.4235825287503128E-2</v>
      </c>
      <c r="CG19" s="3"/>
      <c r="CH19" s="4"/>
      <c r="CI19" s="46">
        <f>SUM(CI16:CI18)</f>
        <v>4</v>
      </c>
      <c r="CJ19" s="46"/>
      <c r="CK19" s="62"/>
      <c r="CL19" s="77">
        <f>SUM(CL16:CL18)</f>
        <v>712</v>
      </c>
      <c r="CM19" s="926">
        <f>CL19/$CL$67</f>
        <v>2.4233523876203426E-2</v>
      </c>
      <c r="CN19" s="3"/>
      <c r="CO19" s="4"/>
      <c r="CP19" s="46">
        <f>SUM(CP16:CP18)</f>
        <v>4</v>
      </c>
      <c r="CQ19" s="46"/>
      <c r="CR19" s="62"/>
      <c r="CS19" s="77">
        <f>SUM(CS16:CS18)</f>
        <v>712</v>
      </c>
      <c r="CT19" s="926">
        <f>CS19/$CS$67</f>
        <v>2.4231202195157595E-2</v>
      </c>
      <c r="CU19" s="3"/>
      <c r="CV19" s="4"/>
      <c r="CW19" s="46">
        <f>SUM(CW16:CW18)</f>
        <v>4</v>
      </c>
      <c r="CX19" s="46"/>
      <c r="CY19" s="62"/>
      <c r="CZ19" s="77">
        <f>SUM(CZ16:CZ18)</f>
        <v>712</v>
      </c>
      <c r="DA19" s="926">
        <f>CZ19/$CZ$67</f>
        <v>2.4228860069817389E-2</v>
      </c>
      <c r="DB19" s="3"/>
      <c r="DC19" s="4"/>
      <c r="DD19" s="46">
        <f>SUM(DD16:DD18)</f>
        <v>4</v>
      </c>
      <c r="DE19" s="46"/>
      <c r="DF19" s="62"/>
      <c r="DG19" s="77">
        <f>SUM(DG16:DG18)</f>
        <v>712</v>
      </c>
      <c r="DH19" s="926">
        <f>DG19/$DG$67</f>
        <v>2.422649732420263E-2</v>
      </c>
      <c r="DI19" s="3"/>
      <c r="DJ19" s="4"/>
      <c r="DK19" s="46">
        <f>SUM(DK16:DK18)</f>
        <v>4</v>
      </c>
      <c r="DL19" s="46"/>
      <c r="DM19" s="62"/>
      <c r="DN19" s="77">
        <f>SUM(DN16:DN18)</f>
        <v>712</v>
      </c>
      <c r="DO19" s="926">
        <f>DN19/$DN$67</f>
        <v>2.4224113780890712E-2</v>
      </c>
      <c r="DP19" s="3"/>
      <c r="DQ19" s="4"/>
      <c r="DR19" s="46">
        <f>SUM(DR16:DR18)</f>
        <v>4</v>
      </c>
      <c r="DS19" s="46"/>
      <c r="DT19" s="62"/>
      <c r="DU19" s="77">
        <f>SUM(DU16:DU18)</f>
        <v>712</v>
      </c>
      <c r="DV19" s="926">
        <f>DU19/$DU$67</f>
        <v>2.4221709261006114E-2</v>
      </c>
      <c r="DW19" s="3"/>
      <c r="DX19" s="4"/>
      <c r="DY19" s="46">
        <f>SUM(DY16:DY18)</f>
        <v>4</v>
      </c>
      <c r="DZ19" s="46"/>
      <c r="EA19" s="62"/>
      <c r="EB19" s="77">
        <f>SUM(EB16:EB18)</f>
        <v>712</v>
      </c>
      <c r="EC19" s="926">
        <f>EB19/$EB$67</f>
        <v>2.4219283584209793E-2</v>
      </c>
      <c r="ED19" s="3"/>
      <c r="EE19" s="4"/>
      <c r="EF19" s="46">
        <f>SUM(EF16:EF18)</f>
        <v>4</v>
      </c>
      <c r="EG19" s="46"/>
      <c r="EH19" s="62"/>
      <c r="EI19" s="77">
        <f>SUM(EI16:EI18)</f>
        <v>712</v>
      </c>
      <c r="EJ19" s="271">
        <f>EI19/$EI$67</f>
        <v>2.0112407715005082E-2</v>
      </c>
    </row>
    <row r="20" spans="1:140" s="1" customFormat="1" x14ac:dyDescent="0.2">
      <c r="A20" s="110"/>
      <c r="B20" s="4"/>
      <c r="C20" s="46"/>
      <c r="D20" s="88"/>
      <c r="E20" s="62"/>
      <c r="F20" s="43"/>
      <c r="G20" s="271"/>
      <c r="H20" s="110"/>
      <c r="I20" s="4"/>
      <c r="J20" s="46"/>
      <c r="K20" s="88"/>
      <c r="L20" s="62"/>
      <c r="M20" s="43"/>
      <c r="N20" s="271"/>
      <c r="O20" s="110"/>
      <c r="P20" s="4"/>
      <c r="Q20" s="46"/>
      <c r="R20" s="88"/>
      <c r="S20" s="62"/>
      <c r="T20" s="43"/>
      <c r="U20" s="271"/>
      <c r="V20" s="110"/>
      <c r="W20" s="4"/>
      <c r="X20" s="46"/>
      <c r="Y20" s="88"/>
      <c r="Z20" s="62"/>
      <c r="AA20" s="43"/>
      <c r="AB20" s="271"/>
      <c r="AC20" s="110"/>
      <c r="AE20" s="46"/>
      <c r="AF20" s="88"/>
      <c r="AG20" s="62"/>
      <c r="AH20" s="43"/>
      <c r="AI20" s="271"/>
      <c r="AJ20" s="110"/>
      <c r="AL20" s="46"/>
      <c r="AM20" s="88"/>
      <c r="AN20" s="62"/>
      <c r="AO20" s="43"/>
      <c r="AP20" s="271"/>
      <c r="AQ20" s="110"/>
      <c r="AS20" s="46"/>
      <c r="AT20" s="88"/>
      <c r="AU20" s="62"/>
      <c r="AV20" s="43"/>
      <c r="AW20" s="271"/>
      <c r="AX20" s="110"/>
      <c r="AZ20" s="46"/>
      <c r="BA20" s="88"/>
      <c r="BB20" s="62"/>
      <c r="BC20" s="43"/>
      <c r="BD20" s="271"/>
      <c r="BE20" s="110"/>
      <c r="BG20" s="46"/>
      <c r="BH20" s="88"/>
      <c r="BI20" s="62"/>
      <c r="BJ20" s="43"/>
      <c r="BK20" s="271"/>
      <c r="BL20" s="110"/>
      <c r="BN20" s="46"/>
      <c r="BO20" s="88"/>
      <c r="BP20" s="62"/>
      <c r="BQ20" s="43"/>
      <c r="BR20" s="271"/>
      <c r="BS20" s="110"/>
      <c r="BU20" s="46"/>
      <c r="BV20" s="88"/>
      <c r="BW20" s="62"/>
      <c r="BX20" s="43"/>
      <c r="BY20" s="271"/>
      <c r="BZ20" s="110"/>
      <c r="CB20" s="46"/>
      <c r="CC20" s="88"/>
      <c r="CD20" s="62"/>
      <c r="CE20" s="43"/>
      <c r="CF20" s="271"/>
      <c r="CG20" s="110"/>
      <c r="CI20" s="46"/>
      <c r="CJ20" s="88"/>
      <c r="CK20" s="62"/>
      <c r="CL20" s="43"/>
      <c r="CM20" s="271"/>
      <c r="CN20" s="110"/>
      <c r="CP20" s="46"/>
      <c r="CQ20" s="88"/>
      <c r="CR20" s="62"/>
      <c r="CS20" s="43"/>
      <c r="CT20" s="271"/>
      <c r="CU20" s="110"/>
      <c r="CW20" s="46"/>
      <c r="CX20" s="88"/>
      <c r="CY20" s="62"/>
      <c r="CZ20" s="43"/>
      <c r="DA20" s="271"/>
      <c r="DB20" s="110"/>
      <c r="DD20" s="46"/>
      <c r="DE20" s="88"/>
      <c r="DF20" s="62"/>
      <c r="DG20" s="43"/>
      <c r="DH20" s="271"/>
      <c r="DI20" s="110"/>
      <c r="DK20" s="46"/>
      <c r="DL20" s="88"/>
      <c r="DM20" s="62"/>
      <c r="DN20" s="43"/>
      <c r="DO20" s="271"/>
      <c r="DP20" s="110"/>
      <c r="DR20" s="46"/>
      <c r="DS20" s="88"/>
      <c r="DT20" s="62"/>
      <c r="DU20" s="43"/>
      <c r="DV20" s="271"/>
      <c r="DW20" s="110"/>
      <c r="DY20" s="46"/>
      <c r="DZ20" s="88"/>
      <c r="EA20" s="62"/>
      <c r="EB20" s="43"/>
      <c r="EC20" s="271"/>
      <c r="ED20" s="110"/>
      <c r="EF20" s="46"/>
      <c r="EG20" s="88"/>
      <c r="EH20" s="62"/>
      <c r="EI20" s="43"/>
      <c r="EJ20" s="271"/>
    </row>
    <row r="21" spans="1:140" s="1" customFormat="1" x14ac:dyDescent="0.2">
      <c r="A21" s="110" t="str">
        <f>'Standard Vorgaben'!$A$132</f>
        <v>Fungizide</v>
      </c>
      <c r="B21" s="4"/>
      <c r="C21" s="46"/>
      <c r="D21" s="88"/>
      <c r="E21" s="62"/>
      <c r="F21" s="43">
        <f>'Standard Vorgaben'!B132</f>
        <v>200</v>
      </c>
      <c r="G21" s="271"/>
      <c r="H21" s="110" t="str">
        <f>'Standard Vorgaben'!$A$132</f>
        <v>Fungizide</v>
      </c>
      <c r="I21" s="4"/>
      <c r="J21" s="46"/>
      <c r="K21" s="88"/>
      <c r="L21" s="62"/>
      <c r="M21" s="43">
        <f>'Standard Vorgaben'!C132</f>
        <v>250</v>
      </c>
      <c r="N21" s="271"/>
      <c r="O21" s="110" t="str">
        <f>'Standard Vorgaben'!$A$132</f>
        <v>Fungizide</v>
      </c>
      <c r="P21" s="4"/>
      <c r="Q21" s="46"/>
      <c r="R21" s="88"/>
      <c r="S21" s="62"/>
      <c r="T21" s="43">
        <f>'Standard Vorgaben'!D132</f>
        <v>480</v>
      </c>
      <c r="U21" s="271"/>
      <c r="V21" s="110" t="str">
        <f>'Standard Vorgaben'!$A$132</f>
        <v>Fungizide</v>
      </c>
      <c r="W21" s="4"/>
      <c r="X21" s="46"/>
      <c r="Y21" s="88"/>
      <c r="Z21" s="62"/>
      <c r="AA21" s="43">
        <f>'Standard Vorgaben'!E132</f>
        <v>870</v>
      </c>
      <c r="AB21" s="271"/>
      <c r="AC21" s="110" t="str">
        <f>'Standard Vorgaben'!$A$132</f>
        <v>Fungizide</v>
      </c>
      <c r="AD21" s="4"/>
      <c r="AE21" s="46"/>
      <c r="AF21" s="88"/>
      <c r="AG21" s="62"/>
      <c r="AH21" s="43">
        <f>'Standard Vorgaben'!$F$132</f>
        <v>1100</v>
      </c>
      <c r="AI21" s="271"/>
      <c r="AJ21" s="110" t="str">
        <f>'Standard Vorgaben'!$A$132</f>
        <v>Fungizide</v>
      </c>
      <c r="AK21" s="4"/>
      <c r="AL21" s="46"/>
      <c r="AM21" s="88"/>
      <c r="AN21" s="62"/>
      <c r="AO21" s="43">
        <f>'Standard Vorgaben'!$F$132</f>
        <v>1100</v>
      </c>
      <c r="AP21" s="271">
        <f>AO21/$AO$67</f>
        <v>3.7463679011621252E-2</v>
      </c>
      <c r="AQ21" s="110" t="str">
        <f>'Standard Vorgaben'!$A$132</f>
        <v>Fungizide</v>
      </c>
      <c r="AR21" s="4"/>
      <c r="AS21" s="46"/>
      <c r="AT21" s="88"/>
      <c r="AU21" s="62"/>
      <c r="AV21" s="43">
        <f>'Standard Vorgaben'!$F$132</f>
        <v>1100</v>
      </c>
      <c r="AW21" s="271">
        <f>AV21/$AV$67</f>
        <v>3.7460305813028907E-2</v>
      </c>
      <c r="AX21" s="110" t="str">
        <f>'Standard Vorgaben'!$A$132</f>
        <v>Fungizide</v>
      </c>
      <c r="AY21" s="4"/>
      <c r="AZ21" s="46"/>
      <c r="BA21" s="88"/>
      <c r="BB21" s="62"/>
      <c r="BC21" s="43">
        <f>'Standard Vorgaben'!$F$132</f>
        <v>1100</v>
      </c>
      <c r="BD21" s="271">
        <f>BC21/$AV$67</f>
        <v>3.7460305813028907E-2</v>
      </c>
      <c r="BE21" s="110" t="str">
        <f>'Standard Vorgaben'!$A$132</f>
        <v>Fungizide</v>
      </c>
      <c r="BF21" s="4"/>
      <c r="BG21" s="46"/>
      <c r="BH21" s="88"/>
      <c r="BI21" s="62"/>
      <c r="BJ21" s="43">
        <f>'Standard Vorgaben'!$F$132</f>
        <v>1100</v>
      </c>
      <c r="BK21" s="271">
        <f>BJ21/$AV$67</f>
        <v>3.7460305813028907E-2</v>
      </c>
      <c r="BL21" s="110" t="str">
        <f>'Standard Vorgaben'!$A$132</f>
        <v>Fungizide</v>
      </c>
      <c r="BM21" s="4"/>
      <c r="BN21" s="46"/>
      <c r="BO21" s="88"/>
      <c r="BP21" s="62"/>
      <c r="BQ21" s="43">
        <f>'Standard Vorgaben'!$F$132</f>
        <v>1100</v>
      </c>
      <c r="BR21" s="4"/>
      <c r="BS21" s="110" t="str">
        <f>'Standard Vorgaben'!$A$132</f>
        <v>Fungizide</v>
      </c>
      <c r="BT21" s="4"/>
      <c r="BU21" s="46"/>
      <c r="BV21" s="88"/>
      <c r="BW21" s="62"/>
      <c r="BX21" s="43">
        <f>'Standard Vorgaben'!$F$132</f>
        <v>1100</v>
      </c>
      <c r="BY21" s="271">
        <f>BX21/$AV$67</f>
        <v>3.7460305813028907E-2</v>
      </c>
      <c r="BZ21" s="110" t="str">
        <f>'Standard Vorgaben'!$A$132</f>
        <v>Fungizide</v>
      </c>
      <c r="CA21" s="4"/>
      <c r="CB21" s="46"/>
      <c r="CC21" s="88"/>
      <c r="CD21" s="62"/>
      <c r="CE21" s="43">
        <f>'Standard Vorgaben'!$F$132</f>
        <v>1100</v>
      </c>
      <c r="CF21" s="271">
        <f>CE21/$AV$67</f>
        <v>3.7460305813028907E-2</v>
      </c>
      <c r="CG21" s="110" t="str">
        <f>'Standard Vorgaben'!$A$132</f>
        <v>Fungizide</v>
      </c>
      <c r="CH21" s="4"/>
      <c r="CI21" s="46"/>
      <c r="CJ21" s="88"/>
      <c r="CK21" s="62"/>
      <c r="CL21" s="43">
        <f>'Standard Vorgaben'!$F$132</f>
        <v>1100</v>
      </c>
      <c r="CM21" s="271">
        <f>CL21/$AV$67</f>
        <v>3.7460305813028907E-2</v>
      </c>
      <c r="CN21" s="110" t="str">
        <f>'Standard Vorgaben'!$A$132</f>
        <v>Fungizide</v>
      </c>
      <c r="CO21" s="4"/>
      <c r="CP21" s="46"/>
      <c r="CQ21" s="88"/>
      <c r="CR21" s="62"/>
      <c r="CS21" s="43">
        <f>'Standard Vorgaben'!$F$132</f>
        <v>1100</v>
      </c>
      <c r="CT21" s="271">
        <f>CS21/$AV$67</f>
        <v>3.7460305813028907E-2</v>
      </c>
      <c r="CU21" s="110" t="str">
        <f>'Standard Vorgaben'!$A$132</f>
        <v>Fungizide</v>
      </c>
      <c r="CV21" s="4"/>
      <c r="CW21" s="46"/>
      <c r="CX21" s="88"/>
      <c r="CY21" s="62"/>
      <c r="CZ21" s="43">
        <f>'Standard Vorgaben'!$F$132</f>
        <v>1100</v>
      </c>
      <c r="DA21" s="271">
        <f>CZ21/$AV$67</f>
        <v>3.7460305813028907E-2</v>
      </c>
      <c r="DB21" s="110" t="str">
        <f>'Standard Vorgaben'!$A$132</f>
        <v>Fungizide</v>
      </c>
      <c r="DC21" s="4"/>
      <c r="DD21" s="46"/>
      <c r="DE21" s="88"/>
      <c r="DF21" s="62"/>
      <c r="DG21" s="43">
        <f>'Standard Vorgaben'!$F$132</f>
        <v>1100</v>
      </c>
      <c r="DH21" s="271">
        <f>DG21/$AV$67</f>
        <v>3.7460305813028907E-2</v>
      </c>
      <c r="DI21" s="110" t="str">
        <f>'Standard Vorgaben'!$A$132</f>
        <v>Fungizide</v>
      </c>
      <c r="DJ21" s="4"/>
      <c r="DK21" s="46"/>
      <c r="DL21" s="88"/>
      <c r="DM21" s="62"/>
      <c r="DN21" s="43">
        <f>'Standard Vorgaben'!$F$132</f>
        <v>1100</v>
      </c>
      <c r="DO21" s="271">
        <f>DN21/$AV$67</f>
        <v>3.7460305813028907E-2</v>
      </c>
      <c r="DP21" s="110" t="str">
        <f>'Standard Vorgaben'!$A$132</f>
        <v>Fungizide</v>
      </c>
      <c r="DQ21" s="4"/>
      <c r="DR21" s="46"/>
      <c r="DS21" s="88"/>
      <c r="DT21" s="62"/>
      <c r="DU21" s="43">
        <f>'Standard Vorgaben'!$F$132</f>
        <v>1100</v>
      </c>
      <c r="DV21" s="271">
        <f>DU21/$AV$67</f>
        <v>3.7460305813028907E-2</v>
      </c>
      <c r="DW21" s="110" t="str">
        <f>'Standard Vorgaben'!$A$132</f>
        <v>Fungizide</v>
      </c>
      <c r="DX21" s="4"/>
      <c r="DY21" s="46"/>
      <c r="DZ21" s="88"/>
      <c r="EA21" s="62"/>
      <c r="EB21" s="43">
        <f>'Standard Vorgaben'!$F$132</f>
        <v>1100</v>
      </c>
      <c r="EC21" s="271">
        <f>EB21/$AV$67</f>
        <v>3.7460305813028907E-2</v>
      </c>
      <c r="ED21" s="110" t="str">
        <f>'Standard Vorgaben'!$A$132</f>
        <v>Fungizide</v>
      </c>
      <c r="EE21" s="4"/>
      <c r="EF21" s="46"/>
      <c r="EG21" s="88"/>
      <c r="EH21" s="62"/>
      <c r="EI21" s="43">
        <f>'Standard Vorgaben'!$F$132</f>
        <v>1100</v>
      </c>
      <c r="EJ21" s="271">
        <f>EI21/$AV$67</f>
        <v>3.7460305813028907E-2</v>
      </c>
    </row>
    <row r="22" spans="1:140" s="1" customFormat="1" x14ac:dyDescent="0.2">
      <c r="A22" s="110" t="str">
        <f>'Standard Vorgaben'!$A$133</f>
        <v>Feuerbrandbehandlungen</v>
      </c>
      <c r="B22" s="4"/>
      <c r="C22" s="46"/>
      <c r="D22" s="88"/>
      <c r="E22" s="62"/>
      <c r="F22" s="43">
        <f>'Standard Vorgaben'!B133</f>
        <v>0</v>
      </c>
      <c r="G22" s="271"/>
      <c r="H22" s="110" t="str">
        <f>'Standard Vorgaben'!$A$133</f>
        <v>Feuerbrandbehandlungen</v>
      </c>
      <c r="I22" s="4"/>
      <c r="J22" s="46"/>
      <c r="K22" s="88"/>
      <c r="L22" s="62"/>
      <c r="M22" s="43">
        <f>'Standard Vorgaben'!C133</f>
        <v>500</v>
      </c>
      <c r="N22" s="271"/>
      <c r="O22" s="110" t="str">
        <f>'Standard Vorgaben'!$A$133</f>
        <v>Feuerbrandbehandlungen</v>
      </c>
      <c r="P22" s="4"/>
      <c r="Q22" s="46"/>
      <c r="R22" s="88"/>
      <c r="S22" s="62"/>
      <c r="T22" s="43">
        <f>'Standard Vorgaben'!D133</f>
        <v>500</v>
      </c>
      <c r="U22" s="271"/>
      <c r="V22" s="110" t="str">
        <f>'Standard Vorgaben'!$A$133</f>
        <v>Feuerbrandbehandlungen</v>
      </c>
      <c r="W22" s="4"/>
      <c r="X22" s="46"/>
      <c r="Y22" s="88"/>
      <c r="Z22" s="62"/>
      <c r="AA22" s="43">
        <f>'Standard Vorgaben'!E133</f>
        <v>500</v>
      </c>
      <c r="AB22" s="271"/>
      <c r="AC22" s="110" t="str">
        <f>'Standard Vorgaben'!$A$133</f>
        <v>Feuerbrandbehandlungen</v>
      </c>
      <c r="AD22" s="4"/>
      <c r="AE22" s="46"/>
      <c r="AF22" s="88"/>
      <c r="AG22" s="62"/>
      <c r="AH22" s="43">
        <f>'Standard Vorgaben'!$F$133</f>
        <v>550</v>
      </c>
      <c r="AI22" s="271"/>
      <c r="AJ22" s="110" t="str">
        <f>'Standard Vorgaben'!$A$133</f>
        <v>Feuerbrandbehandlungen</v>
      </c>
      <c r="AK22" s="4"/>
      <c r="AL22" s="46"/>
      <c r="AM22" s="88"/>
      <c r="AN22" s="62"/>
      <c r="AO22" s="43">
        <f>'Standard Vorgaben'!$F$133</f>
        <v>550</v>
      </c>
      <c r="AP22" s="271">
        <f>AO22/$AO$67</f>
        <v>1.8731839505810626E-2</v>
      </c>
      <c r="AQ22" s="110" t="str">
        <f>'Standard Vorgaben'!$A$133</f>
        <v>Feuerbrandbehandlungen</v>
      </c>
      <c r="AR22" s="4"/>
      <c r="AS22" s="46"/>
      <c r="AT22" s="88"/>
      <c r="AU22" s="62"/>
      <c r="AV22" s="43">
        <f>'Standard Vorgaben'!$F$133</f>
        <v>550</v>
      </c>
      <c r="AW22" s="271">
        <f>AV22/$AV$67</f>
        <v>1.8730152906514454E-2</v>
      </c>
      <c r="AX22" s="110" t="str">
        <f>'Standard Vorgaben'!$A$133</f>
        <v>Feuerbrandbehandlungen</v>
      </c>
      <c r="AY22" s="4"/>
      <c r="AZ22" s="46"/>
      <c r="BA22" s="88"/>
      <c r="BB22" s="62"/>
      <c r="BC22" s="43">
        <f>'Standard Vorgaben'!$F$133</f>
        <v>550</v>
      </c>
      <c r="BD22" s="271">
        <f>BC22/$AV$67</f>
        <v>1.8730152906514454E-2</v>
      </c>
      <c r="BE22" s="110" t="str">
        <f>'Standard Vorgaben'!$A$133</f>
        <v>Feuerbrandbehandlungen</v>
      </c>
      <c r="BF22" s="4"/>
      <c r="BG22" s="46"/>
      <c r="BH22" s="88"/>
      <c r="BI22" s="62"/>
      <c r="BJ22" s="43">
        <f>'Standard Vorgaben'!$F$133</f>
        <v>550</v>
      </c>
      <c r="BK22" s="271">
        <f>BJ22/$AV$67</f>
        <v>1.8730152906514454E-2</v>
      </c>
      <c r="BL22" s="110" t="str">
        <f>'Standard Vorgaben'!$A$133</f>
        <v>Feuerbrandbehandlungen</v>
      </c>
      <c r="BM22" s="4"/>
      <c r="BN22" s="46"/>
      <c r="BO22" s="88"/>
      <c r="BP22" s="62"/>
      <c r="BQ22" s="43">
        <f>'Standard Vorgaben'!$F$133</f>
        <v>550</v>
      </c>
      <c r="BR22" s="4"/>
      <c r="BS22" s="110" t="str">
        <f>'Standard Vorgaben'!$A$133</f>
        <v>Feuerbrandbehandlungen</v>
      </c>
      <c r="BT22" s="4"/>
      <c r="BU22" s="46"/>
      <c r="BV22" s="88"/>
      <c r="BW22" s="62"/>
      <c r="BX22" s="43">
        <f>'Standard Vorgaben'!$F$133</f>
        <v>550</v>
      </c>
      <c r="BY22" s="271">
        <f>BX22/$AV$67</f>
        <v>1.8730152906514454E-2</v>
      </c>
      <c r="BZ22" s="110" t="str">
        <f>'Standard Vorgaben'!$A$133</f>
        <v>Feuerbrandbehandlungen</v>
      </c>
      <c r="CA22" s="4"/>
      <c r="CB22" s="46"/>
      <c r="CC22" s="88"/>
      <c r="CD22" s="62"/>
      <c r="CE22" s="43">
        <f>'Standard Vorgaben'!$F$133</f>
        <v>550</v>
      </c>
      <c r="CF22" s="271">
        <f>CE22/$AV$67</f>
        <v>1.8730152906514454E-2</v>
      </c>
      <c r="CG22" s="110" t="str">
        <f>'Standard Vorgaben'!$A$133</f>
        <v>Feuerbrandbehandlungen</v>
      </c>
      <c r="CH22" s="4"/>
      <c r="CI22" s="46"/>
      <c r="CJ22" s="88"/>
      <c r="CK22" s="62"/>
      <c r="CL22" s="43">
        <f>'Standard Vorgaben'!$F$133</f>
        <v>550</v>
      </c>
      <c r="CM22" s="271">
        <f>CL22/$AV$67</f>
        <v>1.8730152906514454E-2</v>
      </c>
      <c r="CN22" s="110" t="str">
        <f>'Standard Vorgaben'!$A$133</f>
        <v>Feuerbrandbehandlungen</v>
      </c>
      <c r="CO22" s="4"/>
      <c r="CP22" s="46"/>
      <c r="CQ22" s="88"/>
      <c r="CR22" s="62"/>
      <c r="CS22" s="43">
        <f>'Standard Vorgaben'!$F$133</f>
        <v>550</v>
      </c>
      <c r="CT22" s="271">
        <f>CS22/$AV$67</f>
        <v>1.8730152906514454E-2</v>
      </c>
      <c r="CU22" s="110" t="str">
        <f>'Standard Vorgaben'!$A$133</f>
        <v>Feuerbrandbehandlungen</v>
      </c>
      <c r="CV22" s="4"/>
      <c r="CW22" s="46"/>
      <c r="CX22" s="88"/>
      <c r="CY22" s="62"/>
      <c r="CZ22" s="43">
        <f>'Standard Vorgaben'!$F$133</f>
        <v>550</v>
      </c>
      <c r="DA22" s="271">
        <f>CZ22/$AV$67</f>
        <v>1.8730152906514454E-2</v>
      </c>
      <c r="DB22" s="110" t="str">
        <f>'Standard Vorgaben'!$A$133</f>
        <v>Feuerbrandbehandlungen</v>
      </c>
      <c r="DC22" s="4"/>
      <c r="DD22" s="46"/>
      <c r="DE22" s="88"/>
      <c r="DF22" s="62"/>
      <c r="DG22" s="43">
        <f>'Standard Vorgaben'!$F$133</f>
        <v>550</v>
      </c>
      <c r="DH22" s="271">
        <f>DG22/$AV$67</f>
        <v>1.8730152906514454E-2</v>
      </c>
      <c r="DI22" s="110" t="str">
        <f>'Standard Vorgaben'!$A$133</f>
        <v>Feuerbrandbehandlungen</v>
      </c>
      <c r="DJ22" s="4"/>
      <c r="DK22" s="46"/>
      <c r="DL22" s="88"/>
      <c r="DM22" s="62"/>
      <c r="DN22" s="43">
        <f>'Standard Vorgaben'!$F$133</f>
        <v>550</v>
      </c>
      <c r="DO22" s="271">
        <f>DN22/$AV$67</f>
        <v>1.8730152906514454E-2</v>
      </c>
      <c r="DP22" s="110" t="str">
        <f>'Standard Vorgaben'!$A$133</f>
        <v>Feuerbrandbehandlungen</v>
      </c>
      <c r="DQ22" s="4"/>
      <c r="DR22" s="46"/>
      <c r="DS22" s="88"/>
      <c r="DT22" s="62"/>
      <c r="DU22" s="43">
        <f>'Standard Vorgaben'!$F$133</f>
        <v>550</v>
      </c>
      <c r="DV22" s="271">
        <f>DU22/$AV$67</f>
        <v>1.8730152906514454E-2</v>
      </c>
      <c r="DW22" s="110" t="str">
        <f>'Standard Vorgaben'!$A$133</f>
        <v>Feuerbrandbehandlungen</v>
      </c>
      <c r="DX22" s="4"/>
      <c r="DY22" s="46"/>
      <c r="DZ22" s="88"/>
      <c r="EA22" s="62"/>
      <c r="EB22" s="43">
        <f>'Standard Vorgaben'!$F$133</f>
        <v>550</v>
      </c>
      <c r="EC22" s="271">
        <f>EB22/$AV$67</f>
        <v>1.8730152906514454E-2</v>
      </c>
      <c r="ED22" s="110" t="str">
        <f>'Standard Vorgaben'!$A$133</f>
        <v>Feuerbrandbehandlungen</v>
      </c>
      <c r="EE22" s="4"/>
      <c r="EF22" s="46"/>
      <c r="EG22" s="88"/>
      <c r="EH22" s="62"/>
      <c r="EI22" s="43">
        <f>'Standard Vorgaben'!$F$133</f>
        <v>550</v>
      </c>
      <c r="EJ22" s="271">
        <f>EI22/$AV$67</f>
        <v>1.8730152906514454E-2</v>
      </c>
    </row>
    <row r="23" spans="1:140" s="1" customFormat="1" x14ac:dyDescent="0.2">
      <c r="A23" s="110" t="str">
        <f>'Standard Vorgaben'!$A$134</f>
        <v>Insektizide</v>
      </c>
      <c r="B23" s="4"/>
      <c r="C23" s="46"/>
      <c r="D23" s="88"/>
      <c r="E23" s="62"/>
      <c r="F23" s="43">
        <f>'Standard Vorgaben'!B134</f>
        <v>15</v>
      </c>
      <c r="G23" s="271"/>
      <c r="H23" s="110" t="str">
        <f>'Standard Vorgaben'!$A$134</f>
        <v>Insektizide</v>
      </c>
      <c r="I23" s="4"/>
      <c r="J23" s="46"/>
      <c r="K23" s="88"/>
      <c r="L23" s="62"/>
      <c r="M23" s="43">
        <f>'Standard Vorgaben'!C134</f>
        <v>30</v>
      </c>
      <c r="N23" s="271"/>
      <c r="O23" s="110" t="str">
        <f>'Standard Vorgaben'!$A$134</f>
        <v>Insektizide</v>
      </c>
      <c r="P23" s="4"/>
      <c r="Q23" s="46"/>
      <c r="R23" s="88"/>
      <c r="S23" s="62"/>
      <c r="T23" s="43">
        <f>'Standard Vorgaben'!D134</f>
        <v>460</v>
      </c>
      <c r="U23" s="271"/>
      <c r="V23" s="110" t="str">
        <f>'Standard Vorgaben'!$A$134</f>
        <v>Insektizide</v>
      </c>
      <c r="W23" s="4"/>
      <c r="X23" s="46"/>
      <c r="Y23" s="88"/>
      <c r="Z23" s="62"/>
      <c r="AA23" s="43">
        <f>'Standard Vorgaben'!E134</f>
        <v>500</v>
      </c>
      <c r="AB23" s="271"/>
      <c r="AC23" s="110" t="str">
        <f>'Standard Vorgaben'!$A$134</f>
        <v>Insektizide</v>
      </c>
      <c r="AD23" s="4"/>
      <c r="AE23" s="46"/>
      <c r="AF23" s="88"/>
      <c r="AG23" s="62"/>
      <c r="AH23" s="43">
        <f>'Standard Vorgaben'!$F$134</f>
        <v>2020</v>
      </c>
      <c r="AI23" s="271"/>
      <c r="AJ23" s="110" t="str">
        <f>'Standard Vorgaben'!$A$134</f>
        <v>Insektizide</v>
      </c>
      <c r="AK23" s="4"/>
      <c r="AL23" s="46"/>
      <c r="AM23" s="88"/>
      <c r="AN23" s="62"/>
      <c r="AO23" s="43">
        <f>'Standard Vorgaben'!$F$134</f>
        <v>2020</v>
      </c>
      <c r="AP23" s="271">
        <f>AO23/$AO$67</f>
        <v>6.8796937821340845E-2</v>
      </c>
      <c r="AQ23" s="110" t="str">
        <f>'Standard Vorgaben'!$A$134</f>
        <v>Insektizide</v>
      </c>
      <c r="AR23" s="4"/>
      <c r="AS23" s="46"/>
      <c r="AT23" s="88"/>
      <c r="AU23" s="62"/>
      <c r="AV23" s="43">
        <f>'Standard Vorgaben'!$F$134</f>
        <v>2020</v>
      </c>
      <c r="AW23" s="271">
        <f>AV23/$AV$67</f>
        <v>6.8790743402107626E-2</v>
      </c>
      <c r="AX23" s="110" t="str">
        <f>'Standard Vorgaben'!$A$134</f>
        <v>Insektizide</v>
      </c>
      <c r="AY23" s="4"/>
      <c r="AZ23" s="46"/>
      <c r="BA23" s="88"/>
      <c r="BB23" s="62"/>
      <c r="BC23" s="43">
        <f>'Standard Vorgaben'!$F$134</f>
        <v>2020</v>
      </c>
      <c r="BD23" s="271">
        <f>BC23/$AV$67</f>
        <v>6.8790743402107626E-2</v>
      </c>
      <c r="BE23" s="110" t="str">
        <f>'Standard Vorgaben'!$A$134</f>
        <v>Insektizide</v>
      </c>
      <c r="BF23" s="4"/>
      <c r="BG23" s="46"/>
      <c r="BH23" s="88"/>
      <c r="BI23" s="62"/>
      <c r="BJ23" s="43">
        <f>'Standard Vorgaben'!$F$134</f>
        <v>2020</v>
      </c>
      <c r="BK23" s="271">
        <f>BJ23/$AV$67</f>
        <v>6.8790743402107626E-2</v>
      </c>
      <c r="BL23" s="110" t="str">
        <f>'Standard Vorgaben'!$A$134</f>
        <v>Insektizide</v>
      </c>
      <c r="BM23" s="4"/>
      <c r="BN23" s="46"/>
      <c r="BO23" s="88"/>
      <c r="BP23" s="62"/>
      <c r="BQ23" s="43">
        <f>'Standard Vorgaben'!$F$134</f>
        <v>2020</v>
      </c>
      <c r="BR23" s="4"/>
      <c r="BS23" s="110" t="str">
        <f>'Standard Vorgaben'!$A$134</f>
        <v>Insektizide</v>
      </c>
      <c r="BT23" s="4"/>
      <c r="BU23" s="46"/>
      <c r="BV23" s="88"/>
      <c r="BW23" s="62"/>
      <c r="BX23" s="43">
        <f>'Standard Vorgaben'!$F$134</f>
        <v>2020</v>
      </c>
      <c r="BY23" s="271">
        <f>BX23/$AV$67</f>
        <v>6.8790743402107626E-2</v>
      </c>
      <c r="BZ23" s="110" t="str">
        <f>'Standard Vorgaben'!$A$134</f>
        <v>Insektizide</v>
      </c>
      <c r="CA23" s="4"/>
      <c r="CB23" s="46"/>
      <c r="CC23" s="88"/>
      <c r="CD23" s="62"/>
      <c r="CE23" s="43">
        <f>'Standard Vorgaben'!$F$134</f>
        <v>2020</v>
      </c>
      <c r="CF23" s="271">
        <f>CE23/$AV$67</f>
        <v>6.8790743402107626E-2</v>
      </c>
      <c r="CG23" s="110" t="str">
        <f>'Standard Vorgaben'!$A$134</f>
        <v>Insektizide</v>
      </c>
      <c r="CH23" s="4"/>
      <c r="CI23" s="46"/>
      <c r="CJ23" s="88"/>
      <c r="CK23" s="62"/>
      <c r="CL23" s="43">
        <f>'Standard Vorgaben'!$F$134</f>
        <v>2020</v>
      </c>
      <c r="CM23" s="271">
        <f>CL23/$AV$67</f>
        <v>6.8790743402107626E-2</v>
      </c>
      <c r="CN23" s="110" t="str">
        <f>'Standard Vorgaben'!$A$134</f>
        <v>Insektizide</v>
      </c>
      <c r="CO23" s="4"/>
      <c r="CP23" s="46"/>
      <c r="CQ23" s="88"/>
      <c r="CR23" s="62"/>
      <c r="CS23" s="43">
        <f>'Standard Vorgaben'!$F$134</f>
        <v>2020</v>
      </c>
      <c r="CT23" s="271">
        <f>CS23/$AV$67</f>
        <v>6.8790743402107626E-2</v>
      </c>
      <c r="CU23" s="110" t="str">
        <f>'Standard Vorgaben'!$A$134</f>
        <v>Insektizide</v>
      </c>
      <c r="CV23" s="4"/>
      <c r="CW23" s="46"/>
      <c r="CX23" s="88"/>
      <c r="CY23" s="62"/>
      <c r="CZ23" s="43">
        <f>'Standard Vorgaben'!$F$134</f>
        <v>2020</v>
      </c>
      <c r="DA23" s="271">
        <f>CZ23/$AV$67</f>
        <v>6.8790743402107626E-2</v>
      </c>
      <c r="DB23" s="110" t="str">
        <f>'Standard Vorgaben'!$A$134</f>
        <v>Insektizide</v>
      </c>
      <c r="DC23" s="4"/>
      <c r="DD23" s="46"/>
      <c r="DE23" s="88"/>
      <c r="DF23" s="62"/>
      <c r="DG23" s="43">
        <f>'Standard Vorgaben'!$F$134</f>
        <v>2020</v>
      </c>
      <c r="DH23" s="271">
        <f>DG23/$AV$67</f>
        <v>6.8790743402107626E-2</v>
      </c>
      <c r="DI23" s="110" t="str">
        <f>'Standard Vorgaben'!$A$134</f>
        <v>Insektizide</v>
      </c>
      <c r="DJ23" s="4"/>
      <c r="DK23" s="46"/>
      <c r="DL23" s="88"/>
      <c r="DM23" s="62"/>
      <c r="DN23" s="43">
        <f>'Standard Vorgaben'!$F$134</f>
        <v>2020</v>
      </c>
      <c r="DO23" s="271">
        <f>DN23/$AV$67</f>
        <v>6.8790743402107626E-2</v>
      </c>
      <c r="DP23" s="110" t="str">
        <f>'Standard Vorgaben'!$A$134</f>
        <v>Insektizide</v>
      </c>
      <c r="DQ23" s="4"/>
      <c r="DR23" s="46"/>
      <c r="DS23" s="88"/>
      <c r="DT23" s="62"/>
      <c r="DU23" s="43">
        <f>'Standard Vorgaben'!$F$134</f>
        <v>2020</v>
      </c>
      <c r="DV23" s="271">
        <f>DU23/$AV$67</f>
        <v>6.8790743402107626E-2</v>
      </c>
      <c r="DW23" s="110" t="str">
        <f>'Standard Vorgaben'!$A$134</f>
        <v>Insektizide</v>
      </c>
      <c r="DX23" s="4"/>
      <c r="DY23" s="46"/>
      <c r="DZ23" s="88"/>
      <c r="EA23" s="62"/>
      <c r="EB23" s="43">
        <f>'Standard Vorgaben'!$F$134</f>
        <v>2020</v>
      </c>
      <c r="EC23" s="271">
        <f>EB23/$AV$67</f>
        <v>6.8790743402107626E-2</v>
      </c>
      <c r="ED23" s="110" t="str">
        <f>'Standard Vorgaben'!$A$134</f>
        <v>Insektizide</v>
      </c>
      <c r="EE23" s="4"/>
      <c r="EF23" s="46"/>
      <c r="EG23" s="88"/>
      <c r="EH23" s="62"/>
      <c r="EI23" s="43">
        <f>'Standard Vorgaben'!$F$134</f>
        <v>2020</v>
      </c>
      <c r="EJ23" s="271">
        <f>EI23/$AV$67</f>
        <v>6.8790743402107626E-2</v>
      </c>
    </row>
    <row r="24" spans="1:140" s="1" customFormat="1" x14ac:dyDescent="0.2">
      <c r="A24" s="110" t="str">
        <f>'Standard Vorgaben'!$A$135</f>
        <v>Herbizide</v>
      </c>
      <c r="B24" s="4"/>
      <c r="C24" s="46"/>
      <c r="D24" s="88"/>
      <c r="E24" s="62"/>
      <c r="F24" s="43">
        <f>'Standard Vorgaben'!B135</f>
        <v>110</v>
      </c>
      <c r="G24" s="271"/>
      <c r="H24" s="110" t="str">
        <f>'Standard Vorgaben'!$A$135</f>
        <v>Herbizide</v>
      </c>
      <c r="I24" s="4"/>
      <c r="J24" s="46"/>
      <c r="K24" s="88"/>
      <c r="L24" s="62"/>
      <c r="M24" s="43">
        <f>'Standard Vorgaben'!C135</f>
        <v>110</v>
      </c>
      <c r="N24" s="271"/>
      <c r="O24" s="110" t="str">
        <f>'Standard Vorgaben'!$A$135</f>
        <v>Herbizide</v>
      </c>
      <c r="P24" s="4"/>
      <c r="Q24" s="46"/>
      <c r="R24" s="88"/>
      <c r="S24" s="62"/>
      <c r="T24" s="43">
        <f>'Standard Vorgaben'!D135</f>
        <v>110</v>
      </c>
      <c r="U24" s="271"/>
      <c r="V24" s="110" t="str">
        <f>'Standard Vorgaben'!$A$135</f>
        <v>Herbizide</v>
      </c>
      <c r="W24" s="4"/>
      <c r="X24" s="46"/>
      <c r="Y24" s="88"/>
      <c r="Z24" s="62"/>
      <c r="AA24" s="43">
        <f>'Standard Vorgaben'!E135</f>
        <v>110</v>
      </c>
      <c r="AB24" s="271"/>
      <c r="AC24" s="110" t="str">
        <f>'Standard Vorgaben'!$A$135</f>
        <v>Herbizide</v>
      </c>
      <c r="AD24" s="4"/>
      <c r="AE24" s="46"/>
      <c r="AF24" s="88"/>
      <c r="AG24" s="62"/>
      <c r="AH24" s="43">
        <f>'Standard Vorgaben'!$F$135</f>
        <v>570</v>
      </c>
      <c r="AI24" s="271"/>
      <c r="AJ24" s="110" t="str">
        <f>'Standard Vorgaben'!$A$135</f>
        <v>Herbizide</v>
      </c>
      <c r="AK24" s="4"/>
      <c r="AL24" s="46"/>
      <c r="AM24" s="88"/>
      <c r="AN24" s="62"/>
      <c r="AO24" s="43">
        <f>'Standard Vorgaben'!$F$135</f>
        <v>570</v>
      </c>
      <c r="AP24" s="271">
        <f>AO24/$AO$67</f>
        <v>1.9412997306021921E-2</v>
      </c>
      <c r="AQ24" s="110" t="str">
        <f>'Standard Vorgaben'!$A$135</f>
        <v>Herbizide</v>
      </c>
      <c r="AR24" s="4"/>
      <c r="AS24" s="46"/>
      <c r="AT24" s="88"/>
      <c r="AU24" s="62"/>
      <c r="AV24" s="43">
        <f>'Standard Vorgaben'!$F$135</f>
        <v>570</v>
      </c>
      <c r="AW24" s="271">
        <f>AV24/$AV$67</f>
        <v>1.9411249375842252E-2</v>
      </c>
      <c r="AX24" s="110" t="str">
        <f>'Standard Vorgaben'!$A$135</f>
        <v>Herbizide</v>
      </c>
      <c r="AY24" s="4"/>
      <c r="AZ24" s="46"/>
      <c r="BA24" s="88"/>
      <c r="BB24" s="62"/>
      <c r="BC24" s="43">
        <f>'Standard Vorgaben'!$F$135</f>
        <v>570</v>
      </c>
      <c r="BD24" s="271">
        <f>BC24/$AV$67</f>
        <v>1.9411249375842252E-2</v>
      </c>
      <c r="BE24" s="110" t="str">
        <f>'Standard Vorgaben'!$A$135</f>
        <v>Herbizide</v>
      </c>
      <c r="BF24" s="4"/>
      <c r="BG24" s="46"/>
      <c r="BH24" s="88"/>
      <c r="BI24" s="62"/>
      <c r="BJ24" s="43">
        <f>'Standard Vorgaben'!$F$135</f>
        <v>570</v>
      </c>
      <c r="BK24" s="271">
        <f>BJ24/$AV$67</f>
        <v>1.9411249375842252E-2</v>
      </c>
      <c r="BL24" s="110" t="str">
        <f>'Standard Vorgaben'!$A$135</f>
        <v>Herbizide</v>
      </c>
      <c r="BM24" s="4"/>
      <c r="BN24" s="46"/>
      <c r="BO24" s="88"/>
      <c r="BP24" s="62"/>
      <c r="BQ24" s="43">
        <f>'Standard Vorgaben'!$F$135</f>
        <v>570</v>
      </c>
      <c r="BR24" s="4"/>
      <c r="BS24" s="110" t="str">
        <f>'Standard Vorgaben'!$A$135</f>
        <v>Herbizide</v>
      </c>
      <c r="BT24" s="4"/>
      <c r="BU24" s="46"/>
      <c r="BV24" s="88"/>
      <c r="BW24" s="62"/>
      <c r="BX24" s="43">
        <f>'Standard Vorgaben'!$F$135</f>
        <v>570</v>
      </c>
      <c r="BY24" s="271">
        <f>BX24/$AV$67</f>
        <v>1.9411249375842252E-2</v>
      </c>
      <c r="BZ24" s="110" t="str">
        <f>'Standard Vorgaben'!$A$135</f>
        <v>Herbizide</v>
      </c>
      <c r="CA24" s="4"/>
      <c r="CB24" s="46"/>
      <c r="CC24" s="88"/>
      <c r="CD24" s="62"/>
      <c r="CE24" s="43">
        <f>'Standard Vorgaben'!$F$135</f>
        <v>570</v>
      </c>
      <c r="CF24" s="271">
        <f>CE24/$AV$67</f>
        <v>1.9411249375842252E-2</v>
      </c>
      <c r="CG24" s="110" t="str">
        <f>'Standard Vorgaben'!$A$135</f>
        <v>Herbizide</v>
      </c>
      <c r="CH24" s="4"/>
      <c r="CI24" s="46"/>
      <c r="CJ24" s="88"/>
      <c r="CK24" s="62"/>
      <c r="CL24" s="43">
        <f>'Standard Vorgaben'!$F$135</f>
        <v>570</v>
      </c>
      <c r="CM24" s="271">
        <f>CL24/$AV$67</f>
        <v>1.9411249375842252E-2</v>
      </c>
      <c r="CN24" s="110" t="str">
        <f>'Standard Vorgaben'!$A$135</f>
        <v>Herbizide</v>
      </c>
      <c r="CO24" s="4"/>
      <c r="CP24" s="46"/>
      <c r="CQ24" s="88"/>
      <c r="CR24" s="62"/>
      <c r="CS24" s="43">
        <f>'Standard Vorgaben'!$F$135</f>
        <v>570</v>
      </c>
      <c r="CT24" s="271">
        <f>CS24/$AV$67</f>
        <v>1.9411249375842252E-2</v>
      </c>
      <c r="CU24" s="110" t="str">
        <f>'Standard Vorgaben'!$A$135</f>
        <v>Herbizide</v>
      </c>
      <c r="CV24" s="4"/>
      <c r="CW24" s="46"/>
      <c r="CX24" s="88"/>
      <c r="CY24" s="62"/>
      <c r="CZ24" s="43">
        <f>'Standard Vorgaben'!$F$135</f>
        <v>570</v>
      </c>
      <c r="DA24" s="271">
        <f>CZ24/$AV$67</f>
        <v>1.9411249375842252E-2</v>
      </c>
      <c r="DB24" s="110" t="str">
        <f>'Standard Vorgaben'!$A$135</f>
        <v>Herbizide</v>
      </c>
      <c r="DC24" s="4"/>
      <c r="DD24" s="46"/>
      <c r="DE24" s="88"/>
      <c r="DF24" s="62"/>
      <c r="DG24" s="43">
        <f>'Standard Vorgaben'!$F$135</f>
        <v>570</v>
      </c>
      <c r="DH24" s="271">
        <f>DG24/$AV$67</f>
        <v>1.9411249375842252E-2</v>
      </c>
      <c r="DI24" s="110" t="str">
        <f>'Standard Vorgaben'!$A$135</f>
        <v>Herbizide</v>
      </c>
      <c r="DJ24" s="4"/>
      <c r="DK24" s="46"/>
      <c r="DL24" s="88"/>
      <c r="DM24" s="62"/>
      <c r="DN24" s="43">
        <f>'Standard Vorgaben'!$F$135</f>
        <v>570</v>
      </c>
      <c r="DO24" s="271">
        <f>DN24/$AV$67</f>
        <v>1.9411249375842252E-2</v>
      </c>
      <c r="DP24" s="110" t="str">
        <f>'Standard Vorgaben'!$A$135</f>
        <v>Herbizide</v>
      </c>
      <c r="DQ24" s="4"/>
      <c r="DR24" s="46"/>
      <c r="DS24" s="88"/>
      <c r="DT24" s="62"/>
      <c r="DU24" s="43">
        <f>'Standard Vorgaben'!$F$135</f>
        <v>570</v>
      </c>
      <c r="DV24" s="271">
        <f>DU24/$AV$67</f>
        <v>1.9411249375842252E-2</v>
      </c>
      <c r="DW24" s="110" t="str">
        <f>'Standard Vorgaben'!$A$135</f>
        <v>Herbizide</v>
      </c>
      <c r="DX24" s="4"/>
      <c r="DY24" s="46"/>
      <c r="DZ24" s="88"/>
      <c r="EA24" s="62"/>
      <c r="EB24" s="43">
        <f>'Standard Vorgaben'!$F$135</f>
        <v>570</v>
      </c>
      <c r="EC24" s="271">
        <f>EB24/$AV$67</f>
        <v>1.9411249375842252E-2</v>
      </c>
      <c r="ED24" s="110" t="str">
        <f>'Standard Vorgaben'!$A$135</f>
        <v>Herbizide</v>
      </c>
      <c r="EE24" s="4"/>
      <c r="EF24" s="46"/>
      <c r="EG24" s="88"/>
      <c r="EH24" s="62"/>
      <c r="EI24" s="43">
        <f>'Standard Vorgaben'!$F$135</f>
        <v>570</v>
      </c>
      <c r="EJ24" s="271">
        <f>EI24/$AV$67</f>
        <v>1.9411249375842252E-2</v>
      </c>
    </row>
    <row r="25" spans="1:140" s="1" customFormat="1" x14ac:dyDescent="0.2">
      <c r="A25" s="110" t="str">
        <f>'Standard Vorgaben'!$A$136</f>
        <v>Blatddüngung</v>
      </c>
      <c r="B25" s="4"/>
      <c r="C25" s="46"/>
      <c r="D25" s="88"/>
      <c r="E25" s="62"/>
      <c r="F25" s="118">
        <f>'Standard Vorgaben'!B136</f>
        <v>0</v>
      </c>
      <c r="G25" s="271"/>
      <c r="H25" s="110" t="str">
        <f>'Standard Vorgaben'!$A$136</f>
        <v>Blatddüngung</v>
      </c>
      <c r="I25" s="4"/>
      <c r="J25" s="46"/>
      <c r="K25" s="88"/>
      <c r="L25" s="62"/>
      <c r="M25" s="118">
        <f>'Standard Vorgaben'!C136</f>
        <v>0</v>
      </c>
      <c r="N25" s="271"/>
      <c r="O25" s="110" t="str">
        <f>'Standard Vorgaben'!$A$136</f>
        <v>Blatddüngung</v>
      </c>
      <c r="P25" s="4"/>
      <c r="Q25" s="46"/>
      <c r="R25" s="88"/>
      <c r="S25" s="62"/>
      <c r="T25" s="118">
        <f>'Standard Vorgaben'!D136</f>
        <v>0</v>
      </c>
      <c r="U25" s="271"/>
      <c r="V25" s="110" t="str">
        <f>'Standard Vorgaben'!$A$136</f>
        <v>Blatddüngung</v>
      </c>
      <c r="W25" s="4"/>
      <c r="X25" s="46"/>
      <c r="Y25" s="88"/>
      <c r="Z25" s="62"/>
      <c r="AA25" s="118">
        <f>'Standard Vorgaben'!E136</f>
        <v>0</v>
      </c>
      <c r="AB25" s="271"/>
      <c r="AC25" s="110" t="str">
        <f>'Standard Vorgaben'!$A$136</f>
        <v>Blatddüngung</v>
      </c>
      <c r="AD25" s="4"/>
      <c r="AE25" s="46"/>
      <c r="AF25" s="88"/>
      <c r="AG25" s="62"/>
      <c r="AH25" s="118">
        <f>'Standard Vorgaben'!$F$136</f>
        <v>440</v>
      </c>
      <c r="AI25" s="271"/>
      <c r="AJ25" s="110" t="str">
        <f>'Standard Vorgaben'!$A$136</f>
        <v>Blatddüngung</v>
      </c>
      <c r="AK25" s="4"/>
      <c r="AL25" s="46"/>
      <c r="AM25" s="88"/>
      <c r="AN25" s="62"/>
      <c r="AO25" s="118">
        <f>'Standard Vorgaben'!$F$136</f>
        <v>440</v>
      </c>
      <c r="AP25" s="271">
        <f>AO25/$AO$67</f>
        <v>1.49854716046485E-2</v>
      </c>
      <c r="AQ25" s="110" t="str">
        <f>'Standard Vorgaben'!$A$136</f>
        <v>Blatddüngung</v>
      </c>
      <c r="AR25" s="4"/>
      <c r="AS25" s="46"/>
      <c r="AT25" s="88"/>
      <c r="AU25" s="62"/>
      <c r="AV25" s="118">
        <f>'Standard Vorgaben'!$F$136</f>
        <v>440</v>
      </c>
      <c r="AW25" s="271">
        <f>AV25/$AV$67</f>
        <v>1.4984122325211562E-2</v>
      </c>
      <c r="AX25" s="110" t="str">
        <f>'Standard Vorgaben'!$A$136</f>
        <v>Blatddüngung</v>
      </c>
      <c r="AY25" s="4"/>
      <c r="AZ25" s="46"/>
      <c r="BA25" s="88"/>
      <c r="BB25" s="62"/>
      <c r="BC25" s="118">
        <f>'Standard Vorgaben'!$F$136</f>
        <v>440</v>
      </c>
      <c r="BD25" s="271">
        <f>BC25/$AV$67</f>
        <v>1.4984122325211562E-2</v>
      </c>
      <c r="BE25" s="110" t="str">
        <f>'Standard Vorgaben'!$A$136</f>
        <v>Blatddüngung</v>
      </c>
      <c r="BF25" s="4"/>
      <c r="BG25" s="46"/>
      <c r="BH25" s="88"/>
      <c r="BI25" s="62"/>
      <c r="BJ25" s="118">
        <f>'Standard Vorgaben'!$F$136</f>
        <v>440</v>
      </c>
      <c r="BK25" s="271">
        <f>BJ25/$AV$67</f>
        <v>1.4984122325211562E-2</v>
      </c>
      <c r="BL25" s="110" t="str">
        <f>'Standard Vorgaben'!$A$136</f>
        <v>Blatddüngung</v>
      </c>
      <c r="BM25" s="4"/>
      <c r="BN25" s="46"/>
      <c r="BO25" s="88"/>
      <c r="BP25" s="62"/>
      <c r="BQ25" s="118">
        <f>'Standard Vorgaben'!$F$136</f>
        <v>440</v>
      </c>
      <c r="BR25" s="4"/>
      <c r="BS25" s="110" t="str">
        <f>'Standard Vorgaben'!$A$136</f>
        <v>Blatddüngung</v>
      </c>
      <c r="BT25" s="4"/>
      <c r="BU25" s="46"/>
      <c r="BV25" s="88"/>
      <c r="BW25" s="62"/>
      <c r="BX25" s="118">
        <f>'Standard Vorgaben'!$F$136</f>
        <v>440</v>
      </c>
      <c r="BY25" s="271">
        <f>BX25/$AV$67</f>
        <v>1.4984122325211562E-2</v>
      </c>
      <c r="BZ25" s="110" t="str">
        <f>'Standard Vorgaben'!$A$136</f>
        <v>Blatddüngung</v>
      </c>
      <c r="CA25" s="4"/>
      <c r="CB25" s="46"/>
      <c r="CC25" s="88"/>
      <c r="CD25" s="62"/>
      <c r="CE25" s="118">
        <f>'Standard Vorgaben'!$F$136</f>
        <v>440</v>
      </c>
      <c r="CF25" s="271">
        <f>CE25/$AV$67</f>
        <v>1.4984122325211562E-2</v>
      </c>
      <c r="CG25" s="110" t="str">
        <f>'Standard Vorgaben'!$A$136</f>
        <v>Blatddüngung</v>
      </c>
      <c r="CH25" s="4"/>
      <c r="CI25" s="46"/>
      <c r="CJ25" s="88"/>
      <c r="CK25" s="62"/>
      <c r="CL25" s="118">
        <f>'Standard Vorgaben'!$F$136</f>
        <v>440</v>
      </c>
      <c r="CM25" s="271">
        <f>CL25/$AV$67</f>
        <v>1.4984122325211562E-2</v>
      </c>
      <c r="CN25" s="110" t="str">
        <f>'Standard Vorgaben'!$A$136</f>
        <v>Blatddüngung</v>
      </c>
      <c r="CO25" s="4"/>
      <c r="CP25" s="46"/>
      <c r="CQ25" s="88"/>
      <c r="CR25" s="62"/>
      <c r="CS25" s="118">
        <f>'Standard Vorgaben'!$F$136</f>
        <v>440</v>
      </c>
      <c r="CT25" s="271">
        <f>CS25/$AV$67</f>
        <v>1.4984122325211562E-2</v>
      </c>
      <c r="CU25" s="110" t="str">
        <f>'Standard Vorgaben'!$A$136</f>
        <v>Blatddüngung</v>
      </c>
      <c r="CV25" s="4"/>
      <c r="CW25" s="46"/>
      <c r="CX25" s="88"/>
      <c r="CY25" s="62"/>
      <c r="CZ25" s="118">
        <f>'Standard Vorgaben'!$F$136</f>
        <v>440</v>
      </c>
      <c r="DA25" s="271">
        <f>CZ25/$AV$67</f>
        <v>1.4984122325211562E-2</v>
      </c>
      <c r="DB25" s="110" t="str">
        <f>'Standard Vorgaben'!$A$136</f>
        <v>Blatddüngung</v>
      </c>
      <c r="DC25" s="4"/>
      <c r="DD25" s="46"/>
      <c r="DE25" s="88"/>
      <c r="DF25" s="62"/>
      <c r="DG25" s="118">
        <f>'Standard Vorgaben'!$F$136</f>
        <v>440</v>
      </c>
      <c r="DH25" s="271">
        <f>DG25/$AV$67</f>
        <v>1.4984122325211562E-2</v>
      </c>
      <c r="DI25" s="110" t="str">
        <f>'Standard Vorgaben'!$A$136</f>
        <v>Blatddüngung</v>
      </c>
      <c r="DJ25" s="4"/>
      <c r="DK25" s="46"/>
      <c r="DL25" s="88"/>
      <c r="DM25" s="62"/>
      <c r="DN25" s="118">
        <f>'Standard Vorgaben'!$F$136</f>
        <v>440</v>
      </c>
      <c r="DO25" s="271">
        <f>DN25/$AV$67</f>
        <v>1.4984122325211562E-2</v>
      </c>
      <c r="DP25" s="110" t="str">
        <f>'Standard Vorgaben'!$A$136</f>
        <v>Blatddüngung</v>
      </c>
      <c r="DQ25" s="4"/>
      <c r="DR25" s="46"/>
      <c r="DS25" s="88"/>
      <c r="DT25" s="62"/>
      <c r="DU25" s="118">
        <f>'Standard Vorgaben'!$F$136</f>
        <v>440</v>
      </c>
      <c r="DV25" s="271">
        <f>DU25/$AV$67</f>
        <v>1.4984122325211562E-2</v>
      </c>
      <c r="DW25" s="110" t="str">
        <f>'Standard Vorgaben'!$A$136</f>
        <v>Blatddüngung</v>
      </c>
      <c r="DX25" s="4"/>
      <c r="DY25" s="46"/>
      <c r="DZ25" s="88"/>
      <c r="EA25" s="62"/>
      <c r="EB25" s="118">
        <f>'Standard Vorgaben'!$F$136</f>
        <v>440</v>
      </c>
      <c r="EC25" s="271">
        <f>EB25/$AV$67</f>
        <v>1.4984122325211562E-2</v>
      </c>
      <c r="ED25" s="110" t="str">
        <f>'Standard Vorgaben'!$A$136</f>
        <v>Blatddüngung</v>
      </c>
      <c r="EE25" s="4"/>
      <c r="EF25" s="46"/>
      <c r="EG25" s="88"/>
      <c r="EH25" s="62"/>
      <c r="EI25" s="118">
        <f>'Standard Vorgaben'!$F$136</f>
        <v>440</v>
      </c>
      <c r="EJ25" s="271">
        <f>EI25/$AV$67</f>
        <v>1.4984122325211562E-2</v>
      </c>
    </row>
    <row r="26" spans="1:140" s="1" customFormat="1" x14ac:dyDescent="0.2">
      <c r="A26" s="110"/>
      <c r="B26" s="4"/>
      <c r="C26" s="46"/>
      <c r="D26" s="88"/>
      <c r="E26" s="62"/>
      <c r="F26" s="43">
        <f>SUM(F21:F25)</f>
        <v>325</v>
      </c>
      <c r="G26" s="271"/>
      <c r="H26" s="110"/>
      <c r="I26" s="4"/>
      <c r="J26" s="46"/>
      <c r="K26" s="88"/>
      <c r="L26" s="62"/>
      <c r="M26" s="43">
        <f>SUM(M21:M25)</f>
        <v>890</v>
      </c>
      <c r="N26" s="271"/>
      <c r="O26" s="110"/>
      <c r="P26" s="4"/>
      <c r="Q26" s="46"/>
      <c r="R26" s="88"/>
      <c r="S26" s="62"/>
      <c r="T26" s="43">
        <f>SUM(T21:T25)</f>
        <v>1550</v>
      </c>
      <c r="U26" s="271"/>
      <c r="V26" s="110"/>
      <c r="W26" s="4"/>
      <c r="X26" s="46"/>
      <c r="Y26" s="88"/>
      <c r="Z26" s="62"/>
      <c r="AA26" s="43">
        <f>SUM(AA21:AA25)</f>
        <v>1980</v>
      </c>
      <c r="AB26" s="271"/>
      <c r="AC26" s="110"/>
      <c r="AD26" s="4"/>
      <c r="AE26" s="46"/>
      <c r="AF26" s="88"/>
      <c r="AG26" s="62"/>
      <c r="AH26" s="43">
        <f>SUM(AH21:AH25)</f>
        <v>4680</v>
      </c>
      <c r="AI26" s="271"/>
      <c r="AJ26" s="110"/>
      <c r="AK26" s="4"/>
      <c r="AL26" s="46"/>
      <c r="AM26" s="88"/>
      <c r="AN26" s="62"/>
      <c r="AO26" s="43">
        <f>SUM(AO21:AO25)</f>
        <v>4680</v>
      </c>
      <c r="AP26" s="271"/>
      <c r="AQ26" s="110"/>
      <c r="AR26" s="4"/>
      <c r="AS26" s="46"/>
      <c r="AT26" s="88"/>
      <c r="AU26" s="62"/>
      <c r="AV26" s="43">
        <f>SUM(AV21:AV25)</f>
        <v>4680</v>
      </c>
      <c r="AW26" s="271"/>
      <c r="AX26" s="110"/>
      <c r="AY26" s="4"/>
      <c r="AZ26" s="46"/>
      <c r="BA26" s="88"/>
      <c r="BB26" s="62"/>
      <c r="BC26" s="43">
        <f>SUM(BC21:BC25)</f>
        <v>4680</v>
      </c>
      <c r="BD26" s="271"/>
      <c r="BE26" s="110"/>
      <c r="BF26" s="4"/>
      <c r="BG26" s="46"/>
      <c r="BH26" s="88"/>
      <c r="BI26" s="62"/>
      <c r="BJ26" s="43">
        <f>SUM(BJ21:BJ25)</f>
        <v>4680</v>
      </c>
      <c r="BK26" s="271"/>
      <c r="BL26" s="110"/>
      <c r="BM26" s="4"/>
      <c r="BN26" s="46"/>
      <c r="BO26" s="88"/>
      <c r="BP26" s="62"/>
      <c r="BQ26" s="43">
        <f>SUM(BQ21:BQ25)</f>
        <v>4680</v>
      </c>
      <c r="BR26" s="4"/>
      <c r="BS26" s="110"/>
      <c r="BT26" s="4"/>
      <c r="BU26" s="46"/>
      <c r="BV26" s="88"/>
      <c r="BW26" s="62"/>
      <c r="BX26" s="43">
        <f>SUM(BX21:BX25)</f>
        <v>4680</v>
      </c>
      <c r="BY26" s="271"/>
      <c r="BZ26" s="110"/>
      <c r="CA26" s="4"/>
      <c r="CB26" s="46"/>
      <c r="CC26" s="88"/>
      <c r="CD26" s="62"/>
      <c r="CE26" s="43">
        <f>SUM(CE21:CE25)</f>
        <v>4680</v>
      </c>
      <c r="CF26" s="271"/>
      <c r="CG26" s="110"/>
      <c r="CH26" s="4"/>
      <c r="CI26" s="46"/>
      <c r="CJ26" s="88"/>
      <c r="CK26" s="62"/>
      <c r="CL26" s="43">
        <f>SUM(CL21:CL25)</f>
        <v>4680</v>
      </c>
      <c r="CM26" s="271"/>
      <c r="CN26" s="110"/>
      <c r="CO26" s="4"/>
      <c r="CP26" s="46"/>
      <c r="CQ26" s="88"/>
      <c r="CR26" s="62"/>
      <c r="CS26" s="43">
        <f>SUM(CS21:CS25)</f>
        <v>4680</v>
      </c>
      <c r="CT26" s="271"/>
      <c r="CU26" s="110"/>
      <c r="CV26" s="4"/>
      <c r="CW26" s="46"/>
      <c r="CX26" s="88"/>
      <c r="CY26" s="62"/>
      <c r="CZ26" s="43">
        <f>SUM(CZ21:CZ25)</f>
        <v>4680</v>
      </c>
      <c r="DA26" s="271"/>
      <c r="DB26" s="110"/>
      <c r="DC26" s="4"/>
      <c r="DD26" s="46"/>
      <c r="DE26" s="88"/>
      <c r="DF26" s="62"/>
      <c r="DG26" s="43">
        <f>SUM(DG21:DG25)</f>
        <v>4680</v>
      </c>
      <c r="DH26" s="271"/>
      <c r="DI26" s="110"/>
      <c r="DJ26" s="4"/>
      <c r="DK26" s="46"/>
      <c r="DL26" s="88"/>
      <c r="DM26" s="62"/>
      <c r="DN26" s="43">
        <f>SUM(DN21:DN25)</f>
        <v>4680</v>
      </c>
      <c r="DO26" s="271"/>
      <c r="DP26" s="110"/>
      <c r="DQ26" s="4"/>
      <c r="DR26" s="46"/>
      <c r="DS26" s="88"/>
      <c r="DT26" s="62"/>
      <c r="DU26" s="43">
        <f>SUM(DU21:DU25)</f>
        <v>4680</v>
      </c>
      <c r="DV26" s="271"/>
      <c r="DW26" s="110"/>
      <c r="DX26" s="4"/>
      <c r="DY26" s="46"/>
      <c r="DZ26" s="88"/>
      <c r="EA26" s="62"/>
      <c r="EB26" s="43">
        <f>SUM(EB21:EB25)</f>
        <v>4680</v>
      </c>
      <c r="EC26" s="271"/>
      <c r="ED26" s="110"/>
      <c r="EE26" s="4"/>
      <c r="EF26" s="46"/>
      <c r="EG26" s="88"/>
      <c r="EH26" s="62"/>
      <c r="EI26" s="43">
        <f>SUM(EI21:EI25)</f>
        <v>4680</v>
      </c>
      <c r="EJ26" s="271"/>
    </row>
    <row r="27" spans="1:140" s="1" customFormat="1" x14ac:dyDescent="0.2">
      <c r="A27" s="110"/>
      <c r="B27" s="4"/>
      <c r="C27" s="46"/>
      <c r="D27" s="88"/>
      <c r="E27" s="62"/>
      <c r="F27" s="43"/>
      <c r="G27" s="271"/>
      <c r="H27" s="110"/>
      <c r="I27" s="4"/>
      <c r="J27" s="46"/>
      <c r="K27" s="88"/>
      <c r="L27" s="62"/>
      <c r="M27" s="43"/>
      <c r="N27" s="271"/>
      <c r="O27" s="110"/>
      <c r="P27" s="4"/>
      <c r="Q27" s="46"/>
      <c r="R27" s="88"/>
      <c r="S27" s="62"/>
      <c r="T27" s="43"/>
      <c r="U27" s="271"/>
      <c r="V27" s="110"/>
      <c r="W27" s="4"/>
      <c r="X27" s="46"/>
      <c r="Y27" s="88"/>
      <c r="Z27" s="62"/>
      <c r="AA27" s="43"/>
      <c r="AB27" s="271"/>
      <c r="AC27" s="110"/>
      <c r="AE27" s="46"/>
      <c r="AF27" s="88"/>
      <c r="AG27" s="62"/>
      <c r="AH27" s="43"/>
      <c r="AI27" s="271"/>
      <c r="AJ27" s="110"/>
      <c r="AL27" s="46"/>
      <c r="AM27" s="88"/>
      <c r="AN27" s="62"/>
      <c r="AO27" s="43"/>
      <c r="AP27" s="271"/>
      <c r="AQ27" s="110"/>
      <c r="AS27" s="46"/>
      <c r="AT27" s="88"/>
      <c r="AU27" s="62"/>
      <c r="AV27" s="43"/>
      <c r="AW27" s="271"/>
      <c r="AX27" s="110"/>
      <c r="AZ27" s="46"/>
      <c r="BA27" s="88"/>
      <c r="BB27" s="62"/>
      <c r="BC27" s="43"/>
      <c r="BD27" s="271"/>
      <c r="BE27" s="110"/>
      <c r="BG27" s="46"/>
      <c r="BH27" s="88"/>
      <c r="BI27" s="62"/>
      <c r="BJ27" s="43"/>
      <c r="BK27" s="271"/>
      <c r="BL27" s="110"/>
      <c r="BN27" s="46"/>
      <c r="BO27" s="88"/>
      <c r="BP27" s="62"/>
      <c r="BQ27" s="43"/>
      <c r="BR27" s="271"/>
      <c r="BS27" s="110"/>
      <c r="BU27" s="46"/>
      <c r="BV27" s="88"/>
      <c r="BW27" s="62"/>
      <c r="BX27" s="43"/>
      <c r="BY27" s="271"/>
      <c r="BZ27" s="110"/>
      <c r="CB27" s="46"/>
      <c r="CC27" s="88"/>
      <c r="CD27" s="62"/>
      <c r="CE27" s="43"/>
      <c r="CF27" s="271"/>
      <c r="CG27" s="110"/>
      <c r="CI27" s="46"/>
      <c r="CJ27" s="88"/>
      <c r="CK27" s="62"/>
      <c r="CL27" s="43"/>
      <c r="CM27" s="271"/>
      <c r="CN27" s="110"/>
      <c r="CP27" s="46"/>
      <c r="CQ27" s="88"/>
      <c r="CR27" s="62"/>
      <c r="CS27" s="43"/>
      <c r="CT27" s="271"/>
      <c r="CU27" s="110"/>
      <c r="CW27" s="46"/>
      <c r="CX27" s="88"/>
      <c r="CY27" s="62"/>
      <c r="CZ27" s="43"/>
      <c r="DA27" s="271"/>
      <c r="DB27" s="110"/>
      <c r="DD27" s="46"/>
      <c r="DE27" s="88"/>
      <c r="DF27" s="62"/>
      <c r="DG27" s="43"/>
      <c r="DH27" s="271"/>
      <c r="DI27" s="110"/>
      <c r="DK27" s="46"/>
      <c r="DL27" s="88"/>
      <c r="DM27" s="62"/>
      <c r="DN27" s="43"/>
      <c r="DO27" s="271"/>
      <c r="DP27" s="110"/>
      <c r="DR27" s="46"/>
      <c r="DS27" s="88"/>
      <c r="DT27" s="62"/>
      <c r="DU27" s="43"/>
      <c r="DV27" s="271"/>
      <c r="DW27" s="110"/>
      <c r="DY27" s="46"/>
      <c r="DZ27" s="88"/>
      <c r="EA27" s="62"/>
      <c r="EB27" s="43"/>
      <c r="EC27" s="271"/>
      <c r="ED27" s="110"/>
      <c r="EF27" s="46"/>
      <c r="EG27" s="88"/>
      <c r="EH27" s="62"/>
      <c r="EI27" s="43"/>
      <c r="EJ27" s="271"/>
    </row>
    <row r="28" spans="1:140" s="1" customFormat="1" ht="18" customHeight="1" x14ac:dyDescent="0.2">
      <c r="A28" s="106" t="s">
        <v>472</v>
      </c>
      <c r="B28" s="1" t="str">
        <f>'Standard Vorgaben'!$F$40</f>
        <v>Klasse I+II</v>
      </c>
      <c r="D28" s="608" t="s">
        <v>151</v>
      </c>
      <c r="E28" s="62">
        <f>'Standard Vorgaben'!$G$40</f>
        <v>325</v>
      </c>
      <c r="F28" s="120">
        <f>E28</f>
        <v>325</v>
      </c>
      <c r="G28" s="271">
        <f>F28/F67</f>
        <v>3.2007633714671066E-2</v>
      </c>
      <c r="H28" s="106" t="s">
        <v>472</v>
      </c>
      <c r="I28" s="1" t="str">
        <f>'Standard Vorgaben'!$F$40</f>
        <v>Klasse I+II</v>
      </c>
      <c r="K28" s="608" t="s">
        <v>151</v>
      </c>
      <c r="L28" s="62">
        <f>'Standard Vorgaben'!$G$40</f>
        <v>325</v>
      </c>
      <c r="M28" s="120">
        <f>L28</f>
        <v>325</v>
      </c>
      <c r="N28" s="271">
        <f>M28/M67</f>
        <v>2.6115863355977896E-2</v>
      </c>
      <c r="O28" s="106" t="s">
        <v>472</v>
      </c>
      <c r="P28" s="1" t="str">
        <f>'Standard Vorgaben'!$F$40</f>
        <v>Klasse I+II</v>
      </c>
      <c r="R28" s="608" t="s">
        <v>151</v>
      </c>
      <c r="S28" s="62">
        <f>'Standard Vorgaben'!$G$40</f>
        <v>325</v>
      </c>
      <c r="T28" s="120">
        <f>S28</f>
        <v>325</v>
      </c>
      <c r="U28" s="271">
        <f>T28/T67</f>
        <v>1.7714855513554638E-2</v>
      </c>
      <c r="V28" s="106" t="s">
        <v>472</v>
      </c>
      <c r="W28" s="1" t="str">
        <f>'Standard Vorgaben'!$F$40</f>
        <v>Klasse I+II</v>
      </c>
      <c r="Y28" s="608" t="s">
        <v>151</v>
      </c>
      <c r="Z28" s="62">
        <f>'Standard Vorgaben'!$G$40</f>
        <v>325</v>
      </c>
      <c r="AA28" s="120">
        <f>Z28</f>
        <v>325</v>
      </c>
      <c r="AB28" s="271">
        <f>AA28/AA67</f>
        <v>1.5974253487773642E-2</v>
      </c>
      <c r="AC28" s="106" t="s">
        <v>472</v>
      </c>
      <c r="AD28" s="1" t="str">
        <f>'Standard Vorgaben'!$F$40</f>
        <v>Klasse I+II</v>
      </c>
      <c r="AF28" s="608" t="s">
        <v>151</v>
      </c>
      <c r="AG28" s="62">
        <f>'Standard Vorgaben'!$G$40</f>
        <v>325</v>
      </c>
      <c r="AH28" s="120">
        <f>AG28</f>
        <v>325</v>
      </c>
      <c r="AI28" s="271">
        <f>AH28/AH67</f>
        <v>1.2226077669550325E-2</v>
      </c>
      <c r="AJ28" s="106" t="s">
        <v>472</v>
      </c>
      <c r="AK28" s="1" t="str">
        <f>'Standard Vorgaben'!$F$40</f>
        <v>Klasse I+II</v>
      </c>
      <c r="AM28" s="608" t="s">
        <v>151</v>
      </c>
      <c r="AN28" s="62">
        <f>'Standard Vorgaben'!$G$40</f>
        <v>325</v>
      </c>
      <c r="AO28" s="120">
        <f>AN28</f>
        <v>325</v>
      </c>
      <c r="AP28" s="271">
        <f>AO28/AO67</f>
        <v>1.1068814253433552E-2</v>
      </c>
      <c r="AQ28" s="106" t="s">
        <v>472</v>
      </c>
      <c r="AR28" s="1" t="str">
        <f>'Standard Vorgaben'!$F$40</f>
        <v>Klasse I+II</v>
      </c>
      <c r="AT28" s="608" t="s">
        <v>151</v>
      </c>
      <c r="AU28" s="62">
        <f>'Standard Vorgaben'!$G$40</f>
        <v>325</v>
      </c>
      <c r="AV28" s="120">
        <f>AU28</f>
        <v>325</v>
      </c>
      <c r="AW28" s="271">
        <f t="shared" ref="AW28:AW33" si="0">AV28/$AV$67</f>
        <v>1.1067817626576722E-2</v>
      </c>
      <c r="AX28" s="106" t="s">
        <v>472</v>
      </c>
      <c r="AY28" s="1" t="str">
        <f>'Standard Vorgaben'!$F$40</f>
        <v>Klasse I+II</v>
      </c>
      <c r="BA28" s="608" t="s">
        <v>151</v>
      </c>
      <c r="BB28" s="62">
        <f>'Standard Vorgaben'!$G$40</f>
        <v>325</v>
      </c>
      <c r="BC28" s="120">
        <f>BB28</f>
        <v>325</v>
      </c>
      <c r="BD28" s="271">
        <f t="shared" ref="BD28:BD33" si="1">BC28/$BC$67</f>
        <v>1.1066812211962696E-2</v>
      </c>
      <c r="BE28" s="106" t="s">
        <v>472</v>
      </c>
      <c r="BF28" s="1" t="str">
        <f>'Standard Vorgaben'!$F$40</f>
        <v>Klasse I+II</v>
      </c>
      <c r="BH28" s="608" t="s">
        <v>151</v>
      </c>
      <c r="BI28" s="62">
        <f>'Standard Vorgaben'!$G$40</f>
        <v>325</v>
      </c>
      <c r="BJ28" s="120">
        <f>BI28</f>
        <v>325</v>
      </c>
      <c r="BK28" s="271">
        <f t="shared" ref="BK28:BK33" si="2">BJ28/$BJ$67</f>
        <v>1.1065797933739848E-2</v>
      </c>
      <c r="BL28" s="106" t="s">
        <v>472</v>
      </c>
      <c r="BM28" s="1" t="str">
        <f>'Standard Vorgaben'!$F$40</f>
        <v>Klasse I+II</v>
      </c>
      <c r="BO28" s="608" t="s">
        <v>151</v>
      </c>
      <c r="BP28" s="62">
        <f>'Standard Vorgaben'!$G$40</f>
        <v>325</v>
      </c>
      <c r="BQ28" s="120">
        <f>BP28</f>
        <v>325</v>
      </c>
      <c r="BR28" s="271">
        <f>BQ28/BQ67</f>
        <v>1.1064774715431089E-2</v>
      </c>
      <c r="BS28" s="106" t="s">
        <v>472</v>
      </c>
      <c r="BT28" s="1" t="str">
        <f>'Standard Vorgaben'!$F$40</f>
        <v>Klasse I+II</v>
      </c>
      <c r="BV28" s="608" t="s">
        <v>151</v>
      </c>
      <c r="BW28" s="62">
        <f>'Standard Vorgaben'!$G$40</f>
        <v>325</v>
      </c>
      <c r="BX28" s="120">
        <f>BW28</f>
        <v>325</v>
      </c>
      <c r="BY28" s="271">
        <f>BX28/BX67</f>
        <v>1.1063742479929223E-2</v>
      </c>
      <c r="BZ28" s="106" t="s">
        <v>472</v>
      </c>
      <c r="CA28" s="1" t="str">
        <f>'Standard Vorgaben'!$F$40</f>
        <v>Klasse I+II</v>
      </c>
      <c r="CC28" s="608" t="s">
        <v>151</v>
      </c>
      <c r="CD28" s="62">
        <f>'Standard Vorgaben'!$G$40</f>
        <v>325</v>
      </c>
      <c r="CE28" s="120">
        <f>CD28</f>
        <v>325</v>
      </c>
      <c r="CF28" s="271">
        <f>CE28/CE67</f>
        <v>1.1062701149492298E-2</v>
      </c>
      <c r="CG28" s="106" t="s">
        <v>472</v>
      </c>
      <c r="CH28" s="1" t="str">
        <f>'Standard Vorgaben'!$F$40</f>
        <v>Klasse I+II</v>
      </c>
      <c r="CJ28" s="608" t="s">
        <v>151</v>
      </c>
      <c r="CK28" s="62">
        <f>'Standard Vorgaben'!$G$40</f>
        <v>325</v>
      </c>
      <c r="CL28" s="120">
        <f>CK28</f>
        <v>325</v>
      </c>
      <c r="CM28" s="271">
        <f>CL28/CL67</f>
        <v>1.1061650645738923E-2</v>
      </c>
      <c r="CN28" s="106" t="s">
        <v>472</v>
      </c>
      <c r="CO28" s="1" t="str">
        <f>'Standard Vorgaben'!$F$40</f>
        <v>Klasse I+II</v>
      </c>
      <c r="CQ28" s="608" t="s">
        <v>151</v>
      </c>
      <c r="CR28" s="62">
        <f>'Standard Vorgaben'!$G$40</f>
        <v>325</v>
      </c>
      <c r="CS28" s="120">
        <f>CR28</f>
        <v>325</v>
      </c>
      <c r="CT28" s="271">
        <f>CS28/CS67</f>
        <v>1.1060590889643564E-2</v>
      </c>
      <c r="CU28" s="106" t="s">
        <v>472</v>
      </c>
      <c r="CV28" s="1" t="str">
        <f>'Standard Vorgaben'!$F$40</f>
        <v>Klasse I+II</v>
      </c>
      <c r="CX28" s="608" t="s">
        <v>151</v>
      </c>
      <c r="CY28" s="62">
        <f>'Standard Vorgaben'!$G$40</f>
        <v>325</v>
      </c>
      <c r="CZ28" s="120">
        <f>CY28</f>
        <v>325</v>
      </c>
      <c r="DA28" s="271">
        <f>CZ28/CZ67</f>
        <v>1.1059521801531814E-2</v>
      </c>
      <c r="DB28" s="106" t="s">
        <v>472</v>
      </c>
      <c r="DC28" s="1" t="str">
        <f>'Standard Vorgaben'!$F$40</f>
        <v>Klasse I+II</v>
      </c>
      <c r="DE28" s="608" t="s">
        <v>151</v>
      </c>
      <c r="DF28" s="62">
        <f>'Standard Vorgaben'!$G$40</f>
        <v>325</v>
      </c>
      <c r="DG28" s="120">
        <f>DF28</f>
        <v>325</v>
      </c>
      <c r="DH28" s="271">
        <f t="shared" ref="DH28:DH33" si="3">DG28/$DG$67</f>
        <v>1.1058443301075638E-2</v>
      </c>
      <c r="DI28" s="106" t="s">
        <v>472</v>
      </c>
      <c r="DJ28" s="1" t="str">
        <f>'Standard Vorgaben'!$F$40</f>
        <v>Klasse I+II</v>
      </c>
      <c r="DL28" s="608" t="s">
        <v>151</v>
      </c>
      <c r="DM28" s="62">
        <f>'Standard Vorgaben'!$G$40</f>
        <v>325</v>
      </c>
      <c r="DN28" s="120">
        <f>DM28</f>
        <v>325</v>
      </c>
      <c r="DO28" s="271">
        <f t="shared" ref="DO28:DO33" si="4">DN28/$DN$67</f>
        <v>1.1057355307288599E-2</v>
      </c>
      <c r="DP28" s="106" t="s">
        <v>472</v>
      </c>
      <c r="DQ28" s="1" t="str">
        <f>'Standard Vorgaben'!$F$40</f>
        <v>Klasse I+II</v>
      </c>
      <c r="DS28" s="608" t="s">
        <v>151</v>
      </c>
      <c r="DT28" s="62">
        <f>'Standard Vorgaben'!$G$40</f>
        <v>325</v>
      </c>
      <c r="DU28" s="120">
        <f>DT28</f>
        <v>325</v>
      </c>
      <c r="DV28" s="271">
        <f t="shared" ref="DV28:DV33" si="5">DU28/$DU$67</f>
        <v>1.105625773852105E-2</v>
      </c>
      <c r="DW28" s="106" t="s">
        <v>472</v>
      </c>
      <c r="DX28" s="1" t="str">
        <f>'Standard Vorgaben'!$F$40</f>
        <v>Klasse I+II</v>
      </c>
      <c r="DZ28" s="608" t="s">
        <v>151</v>
      </c>
      <c r="EA28" s="62">
        <f>'Standard Vorgaben'!$G$40</f>
        <v>325</v>
      </c>
      <c r="EB28" s="120">
        <f>EA28</f>
        <v>325</v>
      </c>
      <c r="EC28" s="271">
        <f t="shared" ref="EC28:EC33" si="6">EB28/$EB$67</f>
        <v>1.1055150512455312E-2</v>
      </c>
      <c r="ED28" s="106" t="s">
        <v>472</v>
      </c>
      <c r="EE28" s="1" t="str">
        <f>'Standard Vorgaben'!$F$40</f>
        <v>Klasse I+II</v>
      </c>
      <c r="EG28" s="608" t="s">
        <v>151</v>
      </c>
      <c r="EH28" s="62">
        <f>'Standard Vorgaben'!$G$40</f>
        <v>325</v>
      </c>
      <c r="EI28" s="120">
        <f>EH28</f>
        <v>325</v>
      </c>
      <c r="EJ28" s="271">
        <f t="shared" ref="EJ28:EJ33" si="7">EI28/$EI$67</f>
        <v>9.1805231845177686E-3</v>
      </c>
    </row>
    <row r="29" spans="1:140" s="1" customFormat="1" ht="18" customHeight="1" x14ac:dyDescent="0.2">
      <c r="A29" s="3"/>
      <c r="B29" s="1" t="str">
        <f>'Standard Vorgaben'!$F$41</f>
        <v>Mostobst total</v>
      </c>
      <c r="D29" s="608" t="s">
        <v>59</v>
      </c>
      <c r="E29" s="62">
        <f>'Standard Vorgaben'!$G$41</f>
        <v>1</v>
      </c>
      <c r="F29" s="120">
        <f>E29*D11/100</f>
        <v>0</v>
      </c>
      <c r="G29" s="271">
        <f>F29/F67</f>
        <v>0</v>
      </c>
      <c r="H29" s="3"/>
      <c r="I29" s="1" t="str">
        <f>'Standard Vorgaben'!$F$41</f>
        <v>Mostobst total</v>
      </c>
      <c r="K29" s="608" t="s">
        <v>59</v>
      </c>
      <c r="L29" s="62">
        <f>'Standard Vorgaben'!$G$41</f>
        <v>1</v>
      </c>
      <c r="M29" s="120">
        <f>L29*K11/100</f>
        <v>7.5</v>
      </c>
      <c r="N29" s="271">
        <f>M29/M67</f>
        <v>6.0267376975333613E-4</v>
      </c>
      <c r="O29" s="3"/>
      <c r="P29" s="1" t="str">
        <f>'Standard Vorgaben'!$F$41</f>
        <v>Mostobst total</v>
      </c>
      <c r="R29" s="608" t="s">
        <v>59</v>
      </c>
      <c r="S29" s="62">
        <f>'Standard Vorgaben'!$G$41</f>
        <v>1</v>
      </c>
      <c r="T29" s="120">
        <f>S29*R11/100</f>
        <v>12.5</v>
      </c>
      <c r="U29" s="271">
        <f>T29/T67</f>
        <v>6.8134059667517835E-4</v>
      </c>
      <c r="V29" s="3"/>
      <c r="W29" s="1" t="str">
        <f>'Standard Vorgaben'!$F$41</f>
        <v>Mostobst total</v>
      </c>
      <c r="Y29" s="608" t="s">
        <v>59</v>
      </c>
      <c r="Z29" s="62">
        <f>'Standard Vorgaben'!$G$41</f>
        <v>1</v>
      </c>
      <c r="AA29" s="120">
        <f>Z29*Y11/100</f>
        <v>25</v>
      </c>
      <c r="AB29" s="271">
        <f>AA29/AA67</f>
        <v>1.2287887298287417E-3</v>
      </c>
      <c r="AC29" s="3"/>
      <c r="AD29" s="1" t="str">
        <f>'Standard Vorgaben'!$F$41</f>
        <v>Mostobst total</v>
      </c>
      <c r="AF29" s="608" t="s">
        <v>59</v>
      </c>
      <c r="AG29" s="62">
        <f>'Standard Vorgaben'!$G$41</f>
        <v>1</v>
      </c>
      <c r="AH29" s="120">
        <f>AG29*AF11/100</f>
        <v>50</v>
      </c>
      <c r="AI29" s="271">
        <f>AH29/AH67</f>
        <v>1.8809350260846653E-3</v>
      </c>
      <c r="AJ29" s="3"/>
      <c r="AK29" s="1" t="str">
        <f>'Standard Vorgaben'!$F$41</f>
        <v>Mostobst total</v>
      </c>
      <c r="AM29" s="608" t="s">
        <v>59</v>
      </c>
      <c r="AN29" s="62">
        <f>'Standard Vorgaben'!$G$41</f>
        <v>1</v>
      </c>
      <c r="AO29" s="120">
        <f>AN29*AM11/100</f>
        <v>80</v>
      </c>
      <c r="AP29" s="271">
        <f>AO29/AO67</f>
        <v>2.724631200845182E-3</v>
      </c>
      <c r="AQ29" s="3"/>
      <c r="AR29" s="1" t="str">
        <f>'Standard Vorgaben'!$F$41</f>
        <v>Mostobst total</v>
      </c>
      <c r="AT29" s="608" t="s">
        <v>59</v>
      </c>
      <c r="AU29" s="62">
        <f>'Standard Vorgaben'!$G$41</f>
        <v>1</v>
      </c>
      <c r="AV29" s="120">
        <f>AU29*AT11/100</f>
        <v>80</v>
      </c>
      <c r="AW29" s="271">
        <f t="shared" si="0"/>
        <v>2.7243858773111931E-3</v>
      </c>
      <c r="AX29" s="3"/>
      <c r="AY29" s="1" t="str">
        <f>'Standard Vorgaben'!$F$41</f>
        <v>Mostobst total</v>
      </c>
      <c r="BA29" s="608" t="s">
        <v>59</v>
      </c>
      <c r="BB29" s="62">
        <f>'Standard Vorgaben'!$G$41</f>
        <v>1</v>
      </c>
      <c r="BC29" s="120">
        <f>BB29*BA11/100</f>
        <v>80</v>
      </c>
      <c r="BD29" s="271">
        <f t="shared" si="1"/>
        <v>2.7241383906369712E-3</v>
      </c>
      <c r="BE29" s="3"/>
      <c r="BF29" s="1" t="str">
        <f>'Standard Vorgaben'!$F$41</f>
        <v>Mostobst total</v>
      </c>
      <c r="BH29" s="608" t="s">
        <v>59</v>
      </c>
      <c r="BI29" s="62">
        <f>'Standard Vorgaben'!$G$41</f>
        <v>1</v>
      </c>
      <c r="BJ29" s="120">
        <f>BI29*BH11/100</f>
        <v>80</v>
      </c>
      <c r="BK29" s="271">
        <f t="shared" si="2"/>
        <v>2.7238887221513472E-3</v>
      </c>
      <c r="BL29" s="3"/>
      <c r="BM29" s="1" t="str">
        <f>'Standard Vorgaben'!$F$41</f>
        <v>Mostobst total</v>
      </c>
      <c r="BO29" s="608" t="s">
        <v>59</v>
      </c>
      <c r="BP29" s="62">
        <f>'Standard Vorgaben'!$G$41</f>
        <v>1</v>
      </c>
      <c r="BQ29" s="120">
        <f>BP29*BO11/100</f>
        <v>80</v>
      </c>
      <c r="BR29" s="271">
        <f>BQ29/BQ67</f>
        <v>2.7236368530291913E-3</v>
      </c>
      <c r="BS29" s="3"/>
      <c r="BT29" s="1" t="str">
        <f>'Standard Vorgaben'!$F$41</f>
        <v>Mostobst total</v>
      </c>
      <c r="BV29" s="608" t="s">
        <v>59</v>
      </c>
      <c r="BW29" s="62">
        <f>'Standard Vorgaben'!$G$41</f>
        <v>1</v>
      </c>
      <c r="BX29" s="120">
        <f>BW29*BV11/100</f>
        <v>80</v>
      </c>
      <c r="BY29" s="271">
        <f>BX29/BX67</f>
        <v>2.7233827642902703E-3</v>
      </c>
      <c r="BZ29" s="3"/>
      <c r="CA29" s="1" t="str">
        <f>'Standard Vorgaben'!$F$41</f>
        <v>Mostobst total</v>
      </c>
      <c r="CC29" s="608" t="s">
        <v>59</v>
      </c>
      <c r="CD29" s="62">
        <f>'Standard Vorgaben'!$G$41</f>
        <v>1</v>
      </c>
      <c r="CE29" s="120">
        <f>CD29*CC11/100</f>
        <v>80</v>
      </c>
      <c r="CF29" s="271">
        <f>CE29/CE67</f>
        <v>2.723126436798104E-3</v>
      </c>
      <c r="CG29" s="3"/>
      <c r="CH29" s="1" t="str">
        <f>'Standard Vorgaben'!$F$41</f>
        <v>Mostobst total</v>
      </c>
      <c r="CJ29" s="608" t="s">
        <v>59</v>
      </c>
      <c r="CK29" s="62">
        <f>'Standard Vorgaben'!$G$41</f>
        <v>1</v>
      </c>
      <c r="CL29" s="120">
        <f>CK29*CJ11/100</f>
        <v>80</v>
      </c>
      <c r="CM29" s="271">
        <f>CL29/CL67</f>
        <v>2.722867851258812E-3</v>
      </c>
      <c r="CN29" s="3"/>
      <c r="CO29" s="1" t="str">
        <f>'Standard Vorgaben'!$F$41</f>
        <v>Mostobst total</v>
      </c>
      <c r="CQ29" s="608" t="s">
        <v>59</v>
      </c>
      <c r="CR29" s="62">
        <f>'Standard Vorgaben'!$G$41</f>
        <v>1</v>
      </c>
      <c r="CS29" s="120">
        <f>CR29*CQ11/100</f>
        <v>80</v>
      </c>
      <c r="CT29" s="271">
        <f>CS29/CS67</f>
        <v>2.7226069882199545E-3</v>
      </c>
      <c r="CU29" s="3"/>
      <c r="CV29" s="1" t="str">
        <f>'Standard Vorgaben'!$F$41</f>
        <v>Mostobst total</v>
      </c>
      <c r="CX29" s="608" t="s">
        <v>59</v>
      </c>
      <c r="CY29" s="62">
        <f>'Standard Vorgaben'!$G$41</f>
        <v>1</v>
      </c>
      <c r="CZ29" s="120">
        <f>CY29*CX11/100</f>
        <v>80</v>
      </c>
      <c r="DA29" s="271">
        <f>CZ29/CZ67</f>
        <v>2.7223438280693695E-3</v>
      </c>
      <c r="DB29" s="3"/>
      <c r="DC29" s="1" t="str">
        <f>'Standard Vorgaben'!$F$41</f>
        <v>Mostobst total</v>
      </c>
      <c r="DE29" s="608" t="s">
        <v>59</v>
      </c>
      <c r="DF29" s="62">
        <f>'Standard Vorgaben'!$G$41</f>
        <v>1</v>
      </c>
      <c r="DG29" s="120">
        <f>DF29*DE11/100</f>
        <v>80</v>
      </c>
      <c r="DH29" s="271">
        <f t="shared" si="3"/>
        <v>2.7220783510340033E-3</v>
      </c>
      <c r="DI29" s="3"/>
      <c r="DJ29" s="1" t="str">
        <f>'Standard Vorgaben'!$F$41</f>
        <v>Mostobst total</v>
      </c>
      <c r="DL29" s="608" t="s">
        <v>59</v>
      </c>
      <c r="DM29" s="62">
        <f>'Standard Vorgaben'!$G$41</f>
        <v>1</v>
      </c>
      <c r="DN29" s="120">
        <f>DM29*DL11/100</f>
        <v>80</v>
      </c>
      <c r="DO29" s="271">
        <f t="shared" si="4"/>
        <v>2.7218105371787319E-3</v>
      </c>
      <c r="DP29" s="3"/>
      <c r="DQ29" s="1" t="str">
        <f>'Standard Vorgaben'!$F$41</f>
        <v>Mostobst total</v>
      </c>
      <c r="DS29" s="608" t="s">
        <v>59</v>
      </c>
      <c r="DT29" s="62">
        <f>'Standard Vorgaben'!$G$41</f>
        <v>1</v>
      </c>
      <c r="DU29" s="120">
        <f>DT29*DS11/100</f>
        <v>80</v>
      </c>
      <c r="DV29" s="271">
        <f t="shared" si="5"/>
        <v>2.7215403664051815E-3</v>
      </c>
      <c r="DW29" s="3"/>
      <c r="DX29" s="1" t="str">
        <f>'Standard Vorgaben'!$F$41</f>
        <v>Mostobst total</v>
      </c>
      <c r="DZ29" s="608" t="s">
        <v>59</v>
      </c>
      <c r="EA29" s="62">
        <f>'Standard Vorgaben'!$G$41</f>
        <v>1</v>
      </c>
      <c r="EB29" s="120">
        <f>EA29*DZ11/100</f>
        <v>80</v>
      </c>
      <c r="EC29" s="271">
        <f t="shared" si="6"/>
        <v>2.7212678184505385E-3</v>
      </c>
      <c r="ED29" s="3"/>
      <c r="EE29" s="1" t="str">
        <f>'Standard Vorgaben'!$F$41</f>
        <v>Mostobst total</v>
      </c>
      <c r="EG29" s="608" t="s">
        <v>59</v>
      </c>
      <c r="EH29" s="62">
        <f>'Standard Vorgaben'!$G$41</f>
        <v>1</v>
      </c>
      <c r="EI29" s="120">
        <f>EH29*EG11/100</f>
        <v>80</v>
      </c>
      <c r="EJ29" s="271">
        <f t="shared" si="7"/>
        <v>2.2598210915736046E-3</v>
      </c>
    </row>
    <row r="30" spans="1:140" s="23" customFormat="1" x14ac:dyDescent="0.2">
      <c r="A30" s="156" t="str">
        <f>'Standard Vorgaben'!$E$43</f>
        <v>Gebindekosten</v>
      </c>
      <c r="B30" s="187" t="str">
        <f>'Standard Vorgaben'!$F$43</f>
        <v>Klasse I+II</v>
      </c>
      <c r="C30" s="1"/>
      <c r="D30" s="46" t="s">
        <v>59</v>
      </c>
      <c r="E30" s="273">
        <f>'Standard Vorgaben'!$G$43</f>
        <v>0</v>
      </c>
      <c r="F30" s="120">
        <f>(D9+D10)/100*E30</f>
        <v>0</v>
      </c>
      <c r="G30" s="271">
        <f>F30/F67</f>
        <v>0</v>
      </c>
      <c r="H30" s="156" t="str">
        <f>'Standard Vorgaben'!$E$43</f>
        <v>Gebindekosten</v>
      </c>
      <c r="I30" s="187" t="str">
        <f>'Standard Vorgaben'!$F$43</f>
        <v>Klasse I+II</v>
      </c>
      <c r="J30" s="1"/>
      <c r="K30" s="46" t="s">
        <v>59</v>
      </c>
      <c r="L30" s="273">
        <f>'Standard Vorgaben'!$G$43</f>
        <v>0</v>
      </c>
      <c r="M30" s="120">
        <f>(K9+K10)/100*L30</f>
        <v>0</v>
      </c>
      <c r="N30" s="271">
        <f>M30/M67</f>
        <v>0</v>
      </c>
      <c r="O30" s="156" t="str">
        <f>'Standard Vorgaben'!$E$43</f>
        <v>Gebindekosten</v>
      </c>
      <c r="P30" s="187" t="str">
        <f>'Standard Vorgaben'!$F$43</f>
        <v>Klasse I+II</v>
      </c>
      <c r="Q30" s="1"/>
      <c r="R30" s="46" t="s">
        <v>59</v>
      </c>
      <c r="S30" s="273">
        <f>'Standard Vorgaben'!$G$43</f>
        <v>0</v>
      </c>
      <c r="T30" s="120">
        <f>(R9+R10)/100*S30</f>
        <v>0</v>
      </c>
      <c r="U30" s="271">
        <f>T30/T67</f>
        <v>0</v>
      </c>
      <c r="V30" s="156" t="str">
        <f>'Standard Vorgaben'!$E$43</f>
        <v>Gebindekosten</v>
      </c>
      <c r="W30" s="187" t="str">
        <f>'Standard Vorgaben'!$F$43</f>
        <v>Klasse I+II</v>
      </c>
      <c r="X30" s="1"/>
      <c r="Y30" s="46" t="s">
        <v>59</v>
      </c>
      <c r="Z30" s="273">
        <f>'Standard Vorgaben'!$G$43</f>
        <v>0</v>
      </c>
      <c r="AA30" s="120">
        <f>(Y9+Y10)/100*Z30</f>
        <v>0</v>
      </c>
      <c r="AB30" s="271">
        <f>AA30/AA67</f>
        <v>0</v>
      </c>
      <c r="AC30" s="156" t="str">
        <f>'Standard Vorgaben'!$E$43</f>
        <v>Gebindekosten</v>
      </c>
      <c r="AD30" s="187" t="str">
        <f>'Standard Vorgaben'!$F$43</f>
        <v>Klasse I+II</v>
      </c>
      <c r="AE30" s="1"/>
      <c r="AF30" s="46" t="s">
        <v>59</v>
      </c>
      <c r="AG30" s="273">
        <f>'Standard Vorgaben'!$G$43</f>
        <v>0</v>
      </c>
      <c r="AH30" s="120">
        <f>(AF9+AF10)/100*AG30</f>
        <v>0</v>
      </c>
      <c r="AI30" s="271">
        <f>AH30/AH67</f>
        <v>0</v>
      </c>
      <c r="AJ30" s="156" t="str">
        <f>'Standard Vorgaben'!$E$43</f>
        <v>Gebindekosten</v>
      </c>
      <c r="AK30" s="187" t="str">
        <f>'Standard Vorgaben'!$F$43</f>
        <v>Klasse I+II</v>
      </c>
      <c r="AL30" s="1"/>
      <c r="AM30" s="46" t="s">
        <v>59</v>
      </c>
      <c r="AN30" s="273">
        <f>'Standard Vorgaben'!$G$43</f>
        <v>0</v>
      </c>
      <c r="AO30" s="120">
        <f>(AM9+AM10)/100*AN30</f>
        <v>0</v>
      </c>
      <c r="AP30" s="271">
        <f>AO30/AO67</f>
        <v>0</v>
      </c>
      <c r="AQ30" s="156" t="str">
        <f>'Standard Vorgaben'!$E$43</f>
        <v>Gebindekosten</v>
      </c>
      <c r="AR30" s="187" t="str">
        <f>'Standard Vorgaben'!$F$43</f>
        <v>Klasse I+II</v>
      </c>
      <c r="AS30" s="1"/>
      <c r="AT30" s="46" t="s">
        <v>59</v>
      </c>
      <c r="AU30" s="273">
        <f>'Standard Vorgaben'!$G$43</f>
        <v>0</v>
      </c>
      <c r="AV30" s="120">
        <f>(AT9+AT10)/100*AU30</f>
        <v>0</v>
      </c>
      <c r="AW30" s="271">
        <f t="shared" si="0"/>
        <v>0</v>
      </c>
      <c r="AX30" s="156" t="str">
        <f>'Standard Vorgaben'!$E$43</f>
        <v>Gebindekosten</v>
      </c>
      <c r="AY30" s="187" t="str">
        <f>'Standard Vorgaben'!$F$43</f>
        <v>Klasse I+II</v>
      </c>
      <c r="AZ30" s="1"/>
      <c r="BA30" s="46" t="s">
        <v>59</v>
      </c>
      <c r="BB30" s="273">
        <f>'Standard Vorgaben'!$G$43</f>
        <v>0</v>
      </c>
      <c r="BC30" s="120">
        <f>(BA9+BA10)/100*BB30</f>
        <v>0</v>
      </c>
      <c r="BD30" s="271">
        <f t="shared" si="1"/>
        <v>0</v>
      </c>
      <c r="BE30" s="156" t="str">
        <f>'Standard Vorgaben'!$E$43</f>
        <v>Gebindekosten</v>
      </c>
      <c r="BF30" s="187" t="str">
        <f>'Standard Vorgaben'!$F$43</f>
        <v>Klasse I+II</v>
      </c>
      <c r="BG30" s="1"/>
      <c r="BH30" s="46" t="s">
        <v>59</v>
      </c>
      <c r="BI30" s="273">
        <f>'Standard Vorgaben'!$G$43</f>
        <v>0</v>
      </c>
      <c r="BJ30" s="120">
        <f>(BH9+BH10)/100*BI30</f>
        <v>0</v>
      </c>
      <c r="BK30" s="271">
        <f t="shared" si="2"/>
        <v>0</v>
      </c>
      <c r="BL30" s="156" t="str">
        <f>'Standard Vorgaben'!$E$43</f>
        <v>Gebindekosten</v>
      </c>
      <c r="BM30" s="187" t="str">
        <f>'Standard Vorgaben'!$F$43</f>
        <v>Klasse I+II</v>
      </c>
      <c r="BN30" s="1"/>
      <c r="BO30" s="46" t="s">
        <v>59</v>
      </c>
      <c r="BP30" s="273">
        <f>'Standard Vorgaben'!$G$43</f>
        <v>0</v>
      </c>
      <c r="BQ30" s="120">
        <f>(BO9+BO10)/100*BP30</f>
        <v>0</v>
      </c>
      <c r="BR30" s="271">
        <f>BQ30/BQ67</f>
        <v>0</v>
      </c>
      <c r="BS30" s="156" t="str">
        <f>'Standard Vorgaben'!$E$43</f>
        <v>Gebindekosten</v>
      </c>
      <c r="BT30" s="187" t="str">
        <f>'Standard Vorgaben'!$F$43</f>
        <v>Klasse I+II</v>
      </c>
      <c r="BU30" s="1"/>
      <c r="BV30" s="46" t="s">
        <v>59</v>
      </c>
      <c r="BW30" s="273">
        <f>'Standard Vorgaben'!$G$43</f>
        <v>0</v>
      </c>
      <c r="BX30" s="120">
        <f>(BV9+BV10)/100*BW30</f>
        <v>0</v>
      </c>
      <c r="BY30" s="271">
        <f>BX30/BX67</f>
        <v>0</v>
      </c>
      <c r="BZ30" s="156" t="str">
        <f>'Standard Vorgaben'!$E$43</f>
        <v>Gebindekosten</v>
      </c>
      <c r="CA30" s="187" t="str">
        <f>'Standard Vorgaben'!$F$43</f>
        <v>Klasse I+II</v>
      </c>
      <c r="CB30" s="1"/>
      <c r="CC30" s="46" t="s">
        <v>59</v>
      </c>
      <c r="CD30" s="273">
        <f>'Standard Vorgaben'!$G$43</f>
        <v>0</v>
      </c>
      <c r="CE30" s="120">
        <f>(CC9+CC10)/100*CD30</f>
        <v>0</v>
      </c>
      <c r="CF30" s="271">
        <f>CE30/CE67</f>
        <v>0</v>
      </c>
      <c r="CG30" s="156" t="str">
        <f>'Standard Vorgaben'!$E$43</f>
        <v>Gebindekosten</v>
      </c>
      <c r="CH30" s="187" t="str">
        <f>'Standard Vorgaben'!$F$43</f>
        <v>Klasse I+II</v>
      </c>
      <c r="CI30" s="1"/>
      <c r="CJ30" s="46" t="s">
        <v>59</v>
      </c>
      <c r="CK30" s="273">
        <f>'Standard Vorgaben'!$G$43</f>
        <v>0</v>
      </c>
      <c r="CL30" s="120">
        <f>(CJ9+CJ10)/100*CK30</f>
        <v>0</v>
      </c>
      <c r="CM30" s="271">
        <f>CL30/CL67</f>
        <v>0</v>
      </c>
      <c r="CN30" s="156" t="str">
        <f>'Standard Vorgaben'!$E$43</f>
        <v>Gebindekosten</v>
      </c>
      <c r="CO30" s="187" t="str">
        <f>'Standard Vorgaben'!$F$43</f>
        <v>Klasse I+II</v>
      </c>
      <c r="CP30" s="1"/>
      <c r="CQ30" s="46" t="s">
        <v>59</v>
      </c>
      <c r="CR30" s="273">
        <f>'Standard Vorgaben'!$G$43</f>
        <v>0</v>
      </c>
      <c r="CS30" s="120">
        <f>(CQ9+CQ10)/100*CR30</f>
        <v>0</v>
      </c>
      <c r="CT30" s="271">
        <f>CS30/CS67</f>
        <v>0</v>
      </c>
      <c r="CU30" s="156" t="str">
        <f>'Standard Vorgaben'!$E$43</f>
        <v>Gebindekosten</v>
      </c>
      <c r="CV30" s="187" t="str">
        <f>'Standard Vorgaben'!$F$43</f>
        <v>Klasse I+II</v>
      </c>
      <c r="CW30" s="1"/>
      <c r="CX30" s="46" t="s">
        <v>59</v>
      </c>
      <c r="CY30" s="273">
        <f>'Standard Vorgaben'!$G$43</f>
        <v>0</v>
      </c>
      <c r="CZ30" s="120">
        <f>(CX9+CX10)/100*CY30</f>
        <v>0</v>
      </c>
      <c r="DA30" s="271">
        <f>CZ30/CZ67</f>
        <v>0</v>
      </c>
      <c r="DB30" s="156" t="str">
        <f>'Standard Vorgaben'!$E$43</f>
        <v>Gebindekosten</v>
      </c>
      <c r="DC30" s="187" t="str">
        <f>'Standard Vorgaben'!$F$43</f>
        <v>Klasse I+II</v>
      </c>
      <c r="DD30" s="1"/>
      <c r="DE30" s="46" t="s">
        <v>59</v>
      </c>
      <c r="DF30" s="273">
        <f>'Standard Vorgaben'!$G$43</f>
        <v>0</v>
      </c>
      <c r="DG30" s="120">
        <f>(DE9+DE10)/100*DF30</f>
        <v>0</v>
      </c>
      <c r="DH30" s="271">
        <f t="shared" si="3"/>
        <v>0</v>
      </c>
      <c r="DI30" s="156" t="str">
        <f>'Standard Vorgaben'!$E$43</f>
        <v>Gebindekosten</v>
      </c>
      <c r="DJ30" s="187" t="str">
        <f>'Standard Vorgaben'!$F$43</f>
        <v>Klasse I+II</v>
      </c>
      <c r="DK30" s="1"/>
      <c r="DL30" s="46" t="s">
        <v>59</v>
      </c>
      <c r="DM30" s="273">
        <f>'Standard Vorgaben'!$G$43</f>
        <v>0</v>
      </c>
      <c r="DN30" s="120">
        <f>(DL9+DL10)/100*DM30</f>
        <v>0</v>
      </c>
      <c r="DO30" s="271">
        <f t="shared" si="4"/>
        <v>0</v>
      </c>
      <c r="DP30" s="156" t="str">
        <f>'Standard Vorgaben'!$E$43</f>
        <v>Gebindekosten</v>
      </c>
      <c r="DQ30" s="187" t="str">
        <f>'Standard Vorgaben'!$F$43</f>
        <v>Klasse I+II</v>
      </c>
      <c r="DR30" s="1"/>
      <c r="DS30" s="46" t="s">
        <v>59</v>
      </c>
      <c r="DT30" s="273">
        <f>'Standard Vorgaben'!$G$43</f>
        <v>0</v>
      </c>
      <c r="DU30" s="120">
        <f>(DS9+DS10)/100*DT30</f>
        <v>0</v>
      </c>
      <c r="DV30" s="271">
        <f t="shared" si="5"/>
        <v>0</v>
      </c>
      <c r="DW30" s="156" t="str">
        <f>'Standard Vorgaben'!$E$43</f>
        <v>Gebindekosten</v>
      </c>
      <c r="DX30" s="187" t="str">
        <f>'Standard Vorgaben'!$F$43</f>
        <v>Klasse I+II</v>
      </c>
      <c r="DY30" s="1"/>
      <c r="DZ30" s="46" t="s">
        <v>59</v>
      </c>
      <c r="EA30" s="273">
        <f>'Standard Vorgaben'!$G$43</f>
        <v>0</v>
      </c>
      <c r="EB30" s="120">
        <f>(DZ9+DZ10)/100*EA30</f>
        <v>0</v>
      </c>
      <c r="EC30" s="271">
        <f t="shared" si="6"/>
        <v>0</v>
      </c>
      <c r="ED30" s="156" t="str">
        <f>'Standard Vorgaben'!$E$43</f>
        <v>Gebindekosten</v>
      </c>
      <c r="EE30" s="187" t="str">
        <f>'Standard Vorgaben'!$F$43</f>
        <v>Klasse I+II</v>
      </c>
      <c r="EF30" s="1"/>
      <c r="EG30" s="46" t="s">
        <v>59</v>
      </c>
      <c r="EH30" s="273">
        <f>'Standard Vorgaben'!$G$43</f>
        <v>0</v>
      </c>
      <c r="EI30" s="120">
        <f>(EG9+EG10)/100*EH30</f>
        <v>0</v>
      </c>
      <c r="EJ30" s="271">
        <f t="shared" si="7"/>
        <v>0</v>
      </c>
    </row>
    <row r="31" spans="1:140" s="23" customFormat="1" x14ac:dyDescent="0.2">
      <c r="A31" s="156" t="str">
        <f>'Standard Vorgaben'!$E$44</f>
        <v>Sortierkosten</v>
      </c>
      <c r="B31" s="1" t="str">
        <f>'Standard Vorgaben'!$F$44</f>
        <v>Klasse I+II</v>
      </c>
      <c r="C31" s="1"/>
      <c r="D31" s="46" t="s">
        <v>59</v>
      </c>
      <c r="E31" s="62">
        <f>'Standard Vorgaben'!$G$44</f>
        <v>0</v>
      </c>
      <c r="F31" s="120">
        <f>(D9+D10)/100*E31</f>
        <v>0</v>
      </c>
      <c r="G31" s="271">
        <f>F31/F67</f>
        <v>0</v>
      </c>
      <c r="H31" s="156" t="str">
        <f>'Standard Vorgaben'!$E$44</f>
        <v>Sortierkosten</v>
      </c>
      <c r="I31" s="1" t="str">
        <f>'Standard Vorgaben'!$F$44</f>
        <v>Klasse I+II</v>
      </c>
      <c r="J31" s="1"/>
      <c r="K31" s="46" t="s">
        <v>59</v>
      </c>
      <c r="L31" s="62">
        <f>'Standard Vorgaben'!$G$44</f>
        <v>0</v>
      </c>
      <c r="M31" s="120">
        <f>(K9+K10)/100*L31</f>
        <v>0</v>
      </c>
      <c r="N31" s="271">
        <f>M31/M67</f>
        <v>0</v>
      </c>
      <c r="O31" s="156" t="str">
        <f>'Standard Vorgaben'!$E$44</f>
        <v>Sortierkosten</v>
      </c>
      <c r="P31" s="1" t="str">
        <f>'Standard Vorgaben'!$F$44</f>
        <v>Klasse I+II</v>
      </c>
      <c r="Q31" s="1"/>
      <c r="R31" s="46" t="s">
        <v>59</v>
      </c>
      <c r="S31" s="62">
        <f>'Standard Vorgaben'!$G$44</f>
        <v>0</v>
      </c>
      <c r="T31" s="120">
        <f>(R9+R10)/100*S31</f>
        <v>0</v>
      </c>
      <c r="U31" s="271">
        <f>T31/T67</f>
        <v>0</v>
      </c>
      <c r="V31" s="156" t="str">
        <f>'Standard Vorgaben'!$E$44</f>
        <v>Sortierkosten</v>
      </c>
      <c r="W31" s="1" t="str">
        <f>'Standard Vorgaben'!$F$44</f>
        <v>Klasse I+II</v>
      </c>
      <c r="X31" s="1"/>
      <c r="Y31" s="46" t="s">
        <v>59</v>
      </c>
      <c r="Z31" s="62">
        <f>'Standard Vorgaben'!$G$44</f>
        <v>0</v>
      </c>
      <c r="AA31" s="120">
        <f>(Y9+Y10)/100*Z31</f>
        <v>0</v>
      </c>
      <c r="AB31" s="271">
        <f>AA31/AA67</f>
        <v>0</v>
      </c>
      <c r="AC31" s="156" t="str">
        <f>'Standard Vorgaben'!$E$44</f>
        <v>Sortierkosten</v>
      </c>
      <c r="AD31" s="1" t="str">
        <f>'Standard Vorgaben'!$F$44</f>
        <v>Klasse I+II</v>
      </c>
      <c r="AE31" s="1"/>
      <c r="AF31" s="46" t="s">
        <v>59</v>
      </c>
      <c r="AG31" s="62">
        <f>'Standard Vorgaben'!$G$44</f>
        <v>0</v>
      </c>
      <c r="AH31" s="120">
        <f>(AF9+AF10)/100*AG31</f>
        <v>0</v>
      </c>
      <c r="AI31" s="271">
        <f>AH31/AH67</f>
        <v>0</v>
      </c>
      <c r="AJ31" s="156" t="str">
        <f>'Standard Vorgaben'!$E$44</f>
        <v>Sortierkosten</v>
      </c>
      <c r="AK31" s="1" t="str">
        <f>'Standard Vorgaben'!$F$44</f>
        <v>Klasse I+II</v>
      </c>
      <c r="AL31" s="1"/>
      <c r="AM31" s="46" t="s">
        <v>59</v>
      </c>
      <c r="AN31" s="62">
        <f>'Standard Vorgaben'!$G$44</f>
        <v>0</v>
      </c>
      <c r="AO31" s="120">
        <f>(AM9+AM10)/100*AN31</f>
        <v>0</v>
      </c>
      <c r="AP31" s="271">
        <f>AO31/AO67</f>
        <v>0</v>
      </c>
      <c r="AQ31" s="156" t="str">
        <f>'Standard Vorgaben'!$E$44</f>
        <v>Sortierkosten</v>
      </c>
      <c r="AR31" s="1" t="str">
        <f>'Standard Vorgaben'!$F$44</f>
        <v>Klasse I+II</v>
      </c>
      <c r="AS31" s="1"/>
      <c r="AT31" s="46" t="s">
        <v>59</v>
      </c>
      <c r="AU31" s="62">
        <f>'Standard Vorgaben'!$G$44</f>
        <v>0</v>
      </c>
      <c r="AV31" s="120">
        <f>(AT9+AT10)/100*AU31</f>
        <v>0</v>
      </c>
      <c r="AW31" s="271">
        <f t="shared" si="0"/>
        <v>0</v>
      </c>
      <c r="AX31" s="156" t="str">
        <f>'Standard Vorgaben'!$E$44</f>
        <v>Sortierkosten</v>
      </c>
      <c r="AY31" s="1" t="str">
        <f>'Standard Vorgaben'!$F$44</f>
        <v>Klasse I+II</v>
      </c>
      <c r="AZ31" s="1"/>
      <c r="BA31" s="46" t="s">
        <v>59</v>
      </c>
      <c r="BB31" s="62">
        <f>'Standard Vorgaben'!$G$44</f>
        <v>0</v>
      </c>
      <c r="BC31" s="120">
        <f>(BA9+BA10)/100*BB31</f>
        <v>0</v>
      </c>
      <c r="BD31" s="271">
        <f t="shared" si="1"/>
        <v>0</v>
      </c>
      <c r="BE31" s="156" t="str">
        <f>'Standard Vorgaben'!$E$44</f>
        <v>Sortierkosten</v>
      </c>
      <c r="BF31" s="1" t="str">
        <f>'Standard Vorgaben'!$F$44</f>
        <v>Klasse I+II</v>
      </c>
      <c r="BG31" s="1"/>
      <c r="BH31" s="46" t="s">
        <v>59</v>
      </c>
      <c r="BI31" s="62">
        <f>'Standard Vorgaben'!$G$44</f>
        <v>0</v>
      </c>
      <c r="BJ31" s="120">
        <f>(BH9+BH10)/100*BI31</f>
        <v>0</v>
      </c>
      <c r="BK31" s="271">
        <f t="shared" si="2"/>
        <v>0</v>
      </c>
      <c r="BL31" s="156" t="str">
        <f>'Standard Vorgaben'!$E$44</f>
        <v>Sortierkosten</v>
      </c>
      <c r="BM31" s="1" t="str">
        <f>'Standard Vorgaben'!$F$44</f>
        <v>Klasse I+II</v>
      </c>
      <c r="BN31" s="1"/>
      <c r="BO31" s="46" t="s">
        <v>59</v>
      </c>
      <c r="BP31" s="62">
        <f>'Standard Vorgaben'!$G$44</f>
        <v>0</v>
      </c>
      <c r="BQ31" s="120">
        <f>(BO9+BO10)/100*BP31</f>
        <v>0</v>
      </c>
      <c r="BR31" s="271">
        <f>BQ31/BQ67</f>
        <v>0</v>
      </c>
      <c r="BS31" s="156" t="str">
        <f>'Standard Vorgaben'!$E$44</f>
        <v>Sortierkosten</v>
      </c>
      <c r="BT31" s="1" t="str">
        <f>'Standard Vorgaben'!$F$44</f>
        <v>Klasse I+II</v>
      </c>
      <c r="BU31" s="1"/>
      <c r="BV31" s="46" t="s">
        <v>59</v>
      </c>
      <c r="BW31" s="62">
        <f>'Standard Vorgaben'!$G$44</f>
        <v>0</v>
      </c>
      <c r="BX31" s="120">
        <f>(BV9+BV10)/100*BW31</f>
        <v>0</v>
      </c>
      <c r="BY31" s="271">
        <f>BX31/BX67</f>
        <v>0</v>
      </c>
      <c r="BZ31" s="156" t="str">
        <f>'Standard Vorgaben'!$E$44</f>
        <v>Sortierkosten</v>
      </c>
      <c r="CA31" s="1" t="str">
        <f>'Standard Vorgaben'!$F$44</f>
        <v>Klasse I+II</v>
      </c>
      <c r="CB31" s="1"/>
      <c r="CC31" s="46" t="s">
        <v>59</v>
      </c>
      <c r="CD31" s="62">
        <f>'Standard Vorgaben'!$G$44</f>
        <v>0</v>
      </c>
      <c r="CE31" s="120">
        <f>(CC9+CC10)/100*CD31</f>
        <v>0</v>
      </c>
      <c r="CF31" s="271">
        <f>CE31/CE67</f>
        <v>0</v>
      </c>
      <c r="CG31" s="156" t="str">
        <f>'Standard Vorgaben'!$E$44</f>
        <v>Sortierkosten</v>
      </c>
      <c r="CH31" s="1" t="str">
        <f>'Standard Vorgaben'!$F$44</f>
        <v>Klasse I+II</v>
      </c>
      <c r="CI31" s="1"/>
      <c r="CJ31" s="46" t="s">
        <v>59</v>
      </c>
      <c r="CK31" s="62">
        <f>'Standard Vorgaben'!$G$44</f>
        <v>0</v>
      </c>
      <c r="CL31" s="120">
        <f>(CJ9+CJ10)/100*CK31</f>
        <v>0</v>
      </c>
      <c r="CM31" s="271">
        <f>CL31/CL67</f>
        <v>0</v>
      </c>
      <c r="CN31" s="156" t="str">
        <f>'Standard Vorgaben'!$E$44</f>
        <v>Sortierkosten</v>
      </c>
      <c r="CO31" s="1" t="str">
        <f>'Standard Vorgaben'!$F$44</f>
        <v>Klasse I+II</v>
      </c>
      <c r="CP31" s="1"/>
      <c r="CQ31" s="46" t="s">
        <v>59</v>
      </c>
      <c r="CR31" s="62">
        <f>'Standard Vorgaben'!$G$44</f>
        <v>0</v>
      </c>
      <c r="CS31" s="120">
        <f>(CQ9+CQ10)/100*CR31</f>
        <v>0</v>
      </c>
      <c r="CT31" s="271">
        <f>CS31/CS67</f>
        <v>0</v>
      </c>
      <c r="CU31" s="156" t="str">
        <f>'Standard Vorgaben'!$E$44</f>
        <v>Sortierkosten</v>
      </c>
      <c r="CV31" s="1" t="str">
        <f>'Standard Vorgaben'!$F$44</f>
        <v>Klasse I+II</v>
      </c>
      <c r="CW31" s="1"/>
      <c r="CX31" s="46" t="s">
        <v>59</v>
      </c>
      <c r="CY31" s="62">
        <f>'Standard Vorgaben'!$G$44</f>
        <v>0</v>
      </c>
      <c r="CZ31" s="120">
        <f>(CX9+CX10)/100*CY31</f>
        <v>0</v>
      </c>
      <c r="DA31" s="271">
        <f>CZ31/CZ67</f>
        <v>0</v>
      </c>
      <c r="DB31" s="156" t="str">
        <f>'Standard Vorgaben'!$E$44</f>
        <v>Sortierkosten</v>
      </c>
      <c r="DC31" s="1" t="str">
        <f>'Standard Vorgaben'!$F$44</f>
        <v>Klasse I+II</v>
      </c>
      <c r="DD31" s="1"/>
      <c r="DE31" s="46" t="s">
        <v>59</v>
      </c>
      <c r="DF31" s="62">
        <f>'Standard Vorgaben'!$G$44</f>
        <v>0</v>
      </c>
      <c r="DG31" s="120">
        <f>(DE9+DE10)/100*DF31</f>
        <v>0</v>
      </c>
      <c r="DH31" s="271">
        <f t="shared" si="3"/>
        <v>0</v>
      </c>
      <c r="DI31" s="156" t="str">
        <f>'Standard Vorgaben'!$E$44</f>
        <v>Sortierkosten</v>
      </c>
      <c r="DJ31" s="1" t="str">
        <f>'Standard Vorgaben'!$F$44</f>
        <v>Klasse I+II</v>
      </c>
      <c r="DK31" s="1"/>
      <c r="DL31" s="46" t="s">
        <v>59</v>
      </c>
      <c r="DM31" s="62">
        <f>'Standard Vorgaben'!$G$44</f>
        <v>0</v>
      </c>
      <c r="DN31" s="120">
        <f>(DL9+DL10)/100*DM31</f>
        <v>0</v>
      </c>
      <c r="DO31" s="271">
        <f t="shared" si="4"/>
        <v>0</v>
      </c>
      <c r="DP31" s="156" t="str">
        <f>'Standard Vorgaben'!$E$44</f>
        <v>Sortierkosten</v>
      </c>
      <c r="DQ31" s="1" t="str">
        <f>'Standard Vorgaben'!$F$44</f>
        <v>Klasse I+II</v>
      </c>
      <c r="DR31" s="1"/>
      <c r="DS31" s="46" t="s">
        <v>59</v>
      </c>
      <c r="DT31" s="62">
        <f>'Standard Vorgaben'!$G$44</f>
        <v>0</v>
      </c>
      <c r="DU31" s="120">
        <f>(DS9+DS10)/100*DT31</f>
        <v>0</v>
      </c>
      <c r="DV31" s="271">
        <f t="shared" si="5"/>
        <v>0</v>
      </c>
      <c r="DW31" s="156" t="str">
        <f>'Standard Vorgaben'!$E$44</f>
        <v>Sortierkosten</v>
      </c>
      <c r="DX31" s="1" t="str">
        <f>'Standard Vorgaben'!$F$44</f>
        <v>Klasse I+II</v>
      </c>
      <c r="DY31" s="1"/>
      <c r="DZ31" s="46" t="s">
        <v>59</v>
      </c>
      <c r="EA31" s="62">
        <f>'Standard Vorgaben'!$G$44</f>
        <v>0</v>
      </c>
      <c r="EB31" s="120">
        <f>(DZ9+DZ10)/100*EA31</f>
        <v>0</v>
      </c>
      <c r="EC31" s="271">
        <f t="shared" si="6"/>
        <v>0</v>
      </c>
      <c r="ED31" s="156" t="str">
        <f>'Standard Vorgaben'!$E$44</f>
        <v>Sortierkosten</v>
      </c>
      <c r="EE31" s="1" t="str">
        <f>'Standard Vorgaben'!$F$44</f>
        <v>Klasse I+II</v>
      </c>
      <c r="EF31" s="1"/>
      <c r="EG31" s="46" t="s">
        <v>59</v>
      </c>
      <c r="EH31" s="62">
        <f>'Standard Vorgaben'!$G$44</f>
        <v>0</v>
      </c>
      <c r="EI31" s="120">
        <f>(EG9+EG10)/100*EH31</f>
        <v>0</v>
      </c>
      <c r="EJ31" s="271">
        <f t="shared" si="7"/>
        <v>0</v>
      </c>
    </row>
    <row r="32" spans="1:140" s="1" customFormat="1" ht="13.5" thickBot="1" x14ac:dyDescent="0.25">
      <c r="A32" s="156"/>
      <c r="B32" s="1" t="str">
        <f>'Standard Vorgaben'!$E$16</f>
        <v>Mostobst Sortierabgang</v>
      </c>
      <c r="D32" s="46" t="s">
        <v>59</v>
      </c>
      <c r="E32" s="62">
        <f>'Standard Vorgaben'!$G$45</f>
        <v>0</v>
      </c>
      <c r="F32" s="923">
        <f>(E32/100)*('Standard Vorgaben'!$D$96*D12)</f>
        <v>0</v>
      </c>
      <c r="G32" s="271">
        <f>F32/F67</f>
        <v>0</v>
      </c>
      <c r="H32" s="156"/>
      <c r="I32" s="1" t="str">
        <f>'Standard Vorgaben'!$E$16</f>
        <v>Mostobst Sortierabgang</v>
      </c>
      <c r="K32" s="46" t="s">
        <v>59</v>
      </c>
      <c r="L32" s="62">
        <f>'Standard Vorgaben'!$G$45</f>
        <v>0</v>
      </c>
      <c r="M32" s="923">
        <f>(L32/100)*('Standard Vorgaben'!$D$96*K12)</f>
        <v>0</v>
      </c>
      <c r="N32" s="271">
        <f>M32/M67</f>
        <v>0</v>
      </c>
      <c r="O32" s="156"/>
      <c r="P32" s="1" t="str">
        <f>'Standard Vorgaben'!$E$16</f>
        <v>Mostobst Sortierabgang</v>
      </c>
      <c r="R32" s="46" t="s">
        <v>59</v>
      </c>
      <c r="S32" s="62">
        <f>'Standard Vorgaben'!$G$45</f>
        <v>0</v>
      </c>
      <c r="T32" s="923">
        <f>(S32/100)*('Standard Vorgaben'!$D$96*R12)</f>
        <v>0</v>
      </c>
      <c r="U32" s="271">
        <f>T32/T67</f>
        <v>0</v>
      </c>
      <c r="V32" s="156"/>
      <c r="W32" s="1" t="str">
        <f>'Standard Vorgaben'!$E$16</f>
        <v>Mostobst Sortierabgang</v>
      </c>
      <c r="Y32" s="46" t="s">
        <v>59</v>
      </c>
      <c r="Z32" s="62">
        <f>'Standard Vorgaben'!$G$45</f>
        <v>0</v>
      </c>
      <c r="AA32" s="923">
        <f>(Z32/100)*('Standard Vorgaben'!$D$96*Y12)</f>
        <v>0</v>
      </c>
      <c r="AB32" s="271">
        <f>AA32/AA67</f>
        <v>0</v>
      </c>
      <c r="AC32" s="156"/>
      <c r="AD32" s="1" t="str">
        <f>'Standard Vorgaben'!$E$16</f>
        <v>Mostobst Sortierabgang</v>
      </c>
      <c r="AF32" s="46" t="s">
        <v>59</v>
      </c>
      <c r="AG32" s="62">
        <f>'Standard Vorgaben'!$G$45</f>
        <v>0</v>
      </c>
      <c r="AH32" s="923">
        <f>(AG32/100)*('Standard Vorgaben'!$D$96*AF12)</f>
        <v>0</v>
      </c>
      <c r="AI32" s="271">
        <f>AH32/AH67</f>
        <v>0</v>
      </c>
      <c r="AJ32" s="156"/>
      <c r="AK32" s="1" t="str">
        <f>'Standard Vorgaben'!$E$16</f>
        <v>Mostobst Sortierabgang</v>
      </c>
      <c r="AM32" s="46" t="s">
        <v>59</v>
      </c>
      <c r="AN32" s="62">
        <f>'Standard Vorgaben'!$G$45</f>
        <v>0</v>
      </c>
      <c r="AO32" s="923">
        <f>(AN32/100)*('Standard Vorgaben'!$D$96*AM12)</f>
        <v>0</v>
      </c>
      <c r="AP32" s="271">
        <f>AO32/AO67</f>
        <v>0</v>
      </c>
      <c r="AQ32" s="156"/>
      <c r="AR32" s="1" t="str">
        <f>'Standard Vorgaben'!$E$16</f>
        <v>Mostobst Sortierabgang</v>
      </c>
      <c r="AT32" s="46" t="s">
        <v>59</v>
      </c>
      <c r="AU32" s="62">
        <f>'Standard Vorgaben'!$G$45</f>
        <v>0</v>
      </c>
      <c r="AV32" s="923">
        <f>(AU32/100)*('Standard Vorgaben'!$D$96*AT12)</f>
        <v>0</v>
      </c>
      <c r="AW32" s="271">
        <f t="shared" si="0"/>
        <v>0</v>
      </c>
      <c r="AX32" s="156"/>
      <c r="AY32" s="1" t="str">
        <f>'Standard Vorgaben'!$E$16</f>
        <v>Mostobst Sortierabgang</v>
      </c>
      <c r="BA32" s="46" t="s">
        <v>59</v>
      </c>
      <c r="BB32" s="62">
        <f>'Standard Vorgaben'!$G$45</f>
        <v>0</v>
      </c>
      <c r="BC32" s="923">
        <f>(BB32/100)*('Standard Vorgaben'!$D$96*BA12)</f>
        <v>0</v>
      </c>
      <c r="BD32" s="271">
        <f t="shared" si="1"/>
        <v>0</v>
      </c>
      <c r="BE32" s="156"/>
      <c r="BF32" s="1" t="str">
        <f>'Standard Vorgaben'!$E$16</f>
        <v>Mostobst Sortierabgang</v>
      </c>
      <c r="BH32" s="46" t="s">
        <v>59</v>
      </c>
      <c r="BI32" s="62">
        <f>'Standard Vorgaben'!$G$45</f>
        <v>0</v>
      </c>
      <c r="BJ32" s="923">
        <f>(BI32/100)*('Standard Vorgaben'!$D$96*BH12)</f>
        <v>0</v>
      </c>
      <c r="BK32" s="271">
        <f t="shared" si="2"/>
        <v>0</v>
      </c>
      <c r="BL32" s="156"/>
      <c r="BM32" s="1" t="str">
        <f>'Standard Vorgaben'!$E$16</f>
        <v>Mostobst Sortierabgang</v>
      </c>
      <c r="BO32" s="46" t="s">
        <v>59</v>
      </c>
      <c r="BP32" s="62">
        <f>'Standard Vorgaben'!$G$45</f>
        <v>0</v>
      </c>
      <c r="BQ32" s="923">
        <f>(BP32/100)*('Standard Vorgaben'!$D$96*BO12)</f>
        <v>0</v>
      </c>
      <c r="BR32" s="271">
        <f>BQ32/BQ67</f>
        <v>0</v>
      </c>
      <c r="BS32" s="156"/>
      <c r="BT32" s="1" t="str">
        <f>'Standard Vorgaben'!$E$16</f>
        <v>Mostobst Sortierabgang</v>
      </c>
      <c r="BV32" s="46" t="s">
        <v>59</v>
      </c>
      <c r="BW32" s="62">
        <f>'Standard Vorgaben'!$G$45</f>
        <v>0</v>
      </c>
      <c r="BX32" s="923">
        <f>(BW32/100)*('Standard Vorgaben'!$D$96*BV12)</f>
        <v>0</v>
      </c>
      <c r="BY32" s="271">
        <f>BX32/BX67</f>
        <v>0</v>
      </c>
      <c r="BZ32" s="156"/>
      <c r="CA32" s="1" t="str">
        <f>'Standard Vorgaben'!$E$16</f>
        <v>Mostobst Sortierabgang</v>
      </c>
      <c r="CC32" s="46" t="s">
        <v>59</v>
      </c>
      <c r="CD32" s="62">
        <f>'Standard Vorgaben'!$G$45</f>
        <v>0</v>
      </c>
      <c r="CE32" s="923">
        <f>(CD32/100)*('Standard Vorgaben'!$D$96*CC12)</f>
        <v>0</v>
      </c>
      <c r="CF32" s="271">
        <f>CE32/CE67</f>
        <v>0</v>
      </c>
      <c r="CG32" s="156"/>
      <c r="CH32" s="1" t="str">
        <f>'Standard Vorgaben'!$E$16</f>
        <v>Mostobst Sortierabgang</v>
      </c>
      <c r="CJ32" s="46" t="s">
        <v>59</v>
      </c>
      <c r="CK32" s="62">
        <f>'Standard Vorgaben'!$G$45</f>
        <v>0</v>
      </c>
      <c r="CL32" s="923">
        <f>(CK32/100)*('Standard Vorgaben'!$D$96*CJ12)</f>
        <v>0</v>
      </c>
      <c r="CM32" s="271">
        <f>CL32/CL67</f>
        <v>0</v>
      </c>
      <c r="CN32" s="156"/>
      <c r="CO32" s="1" t="str">
        <f>'Standard Vorgaben'!$E$16</f>
        <v>Mostobst Sortierabgang</v>
      </c>
      <c r="CQ32" s="46" t="s">
        <v>59</v>
      </c>
      <c r="CR32" s="62">
        <f>'Standard Vorgaben'!$G$45</f>
        <v>0</v>
      </c>
      <c r="CS32" s="923">
        <f>(CR32/100)*('Standard Vorgaben'!$D$96*CQ12)</f>
        <v>0</v>
      </c>
      <c r="CT32" s="271">
        <f>CS32/CS67</f>
        <v>0</v>
      </c>
      <c r="CU32" s="156"/>
      <c r="CV32" s="1" t="str">
        <f>'Standard Vorgaben'!$E$16</f>
        <v>Mostobst Sortierabgang</v>
      </c>
      <c r="CX32" s="46" t="s">
        <v>59</v>
      </c>
      <c r="CY32" s="62">
        <f>'Standard Vorgaben'!$G$45</f>
        <v>0</v>
      </c>
      <c r="CZ32" s="923">
        <f>(CY32/100)*('Standard Vorgaben'!$D$96*CX12)</f>
        <v>0</v>
      </c>
      <c r="DA32" s="271">
        <f>CZ32/CZ67</f>
        <v>0</v>
      </c>
      <c r="DB32" s="156"/>
      <c r="DC32" s="1" t="str">
        <f>'Standard Vorgaben'!$E$16</f>
        <v>Mostobst Sortierabgang</v>
      </c>
      <c r="DE32" s="46" t="s">
        <v>59</v>
      </c>
      <c r="DF32" s="62">
        <f>'Standard Vorgaben'!$G$45</f>
        <v>0</v>
      </c>
      <c r="DG32" s="923">
        <f>(DF32/100)*('Standard Vorgaben'!$D$96*DE12)</f>
        <v>0</v>
      </c>
      <c r="DH32" s="271">
        <f t="shared" si="3"/>
        <v>0</v>
      </c>
      <c r="DI32" s="156"/>
      <c r="DJ32" s="1" t="str">
        <f>'Standard Vorgaben'!$E$16</f>
        <v>Mostobst Sortierabgang</v>
      </c>
      <c r="DL32" s="46" t="s">
        <v>59</v>
      </c>
      <c r="DM32" s="62">
        <f>'Standard Vorgaben'!$G$45</f>
        <v>0</v>
      </c>
      <c r="DN32" s="923">
        <f>(DM32/100)*('Standard Vorgaben'!$D$96*DL12)</f>
        <v>0</v>
      </c>
      <c r="DO32" s="271">
        <f t="shared" si="4"/>
        <v>0</v>
      </c>
      <c r="DP32" s="156"/>
      <c r="DQ32" s="1" t="str">
        <f>'Standard Vorgaben'!$E$16</f>
        <v>Mostobst Sortierabgang</v>
      </c>
      <c r="DS32" s="46" t="s">
        <v>59</v>
      </c>
      <c r="DT32" s="62">
        <f>'Standard Vorgaben'!$G$45</f>
        <v>0</v>
      </c>
      <c r="DU32" s="923">
        <f>(DT32/100)*('Standard Vorgaben'!$D$96*DS12)</f>
        <v>0</v>
      </c>
      <c r="DV32" s="271">
        <f t="shared" si="5"/>
        <v>0</v>
      </c>
      <c r="DW32" s="156"/>
      <c r="DX32" s="1" t="str">
        <f>'Standard Vorgaben'!$E$16</f>
        <v>Mostobst Sortierabgang</v>
      </c>
      <c r="DZ32" s="46" t="s">
        <v>59</v>
      </c>
      <c r="EA32" s="62">
        <f>'Standard Vorgaben'!$G$45</f>
        <v>0</v>
      </c>
      <c r="EB32" s="923">
        <f>(EA32/100)*('Standard Vorgaben'!$D$96*DZ12)</f>
        <v>0</v>
      </c>
      <c r="EC32" s="271">
        <f t="shared" si="6"/>
        <v>0</v>
      </c>
      <c r="ED32" s="156"/>
      <c r="EE32" s="1" t="str">
        <f>'Standard Vorgaben'!$E$16</f>
        <v>Mostobst Sortierabgang</v>
      </c>
      <c r="EG32" s="46" t="s">
        <v>59</v>
      </c>
      <c r="EH32" s="62">
        <f>'Standard Vorgaben'!$G$45</f>
        <v>0</v>
      </c>
      <c r="EI32" s="923">
        <f>(EH32/100)*('Standard Vorgaben'!$D$96*EG12)</f>
        <v>0</v>
      </c>
      <c r="EJ32" s="271">
        <f t="shared" si="7"/>
        <v>0</v>
      </c>
    </row>
    <row r="33" spans="1:256" s="1" customFormat="1" x14ac:dyDescent="0.2">
      <c r="A33" s="611"/>
      <c r="E33" s="62"/>
      <c r="F33" s="77">
        <f>SUM(F28:F32)</f>
        <v>325</v>
      </c>
      <c r="G33" s="926">
        <f>F33/F67</f>
        <v>3.2007633714671066E-2</v>
      </c>
      <c r="H33" s="611"/>
      <c r="L33" s="62"/>
      <c r="M33" s="77">
        <f>SUM(M28:M32)</f>
        <v>332.5</v>
      </c>
      <c r="N33" s="926">
        <f>M33/M67</f>
        <v>2.6718537125731232E-2</v>
      </c>
      <c r="O33" s="611"/>
      <c r="S33" s="62"/>
      <c r="T33" s="77">
        <f>SUM(T28:T32)</f>
        <v>337.5</v>
      </c>
      <c r="U33" s="926">
        <f>T33/T67</f>
        <v>1.8396196110229815E-2</v>
      </c>
      <c r="V33" s="611"/>
      <c r="Z33" s="62"/>
      <c r="AA33" s="77">
        <f>SUM(AA28:AA32)</f>
        <v>350</v>
      </c>
      <c r="AB33" s="926">
        <f>AA33/AA67</f>
        <v>1.7203042217602382E-2</v>
      </c>
      <c r="AC33" s="611"/>
      <c r="AG33" s="62"/>
      <c r="AH33" s="77">
        <f>SUM(AH28:AH32)</f>
        <v>375</v>
      </c>
      <c r="AI33" s="926">
        <f>AH33/AH67</f>
        <v>1.4107012695634989E-2</v>
      </c>
      <c r="AJ33" s="611"/>
      <c r="AN33" s="62"/>
      <c r="AO33" s="77">
        <f>SUM(AO28:AO32)</f>
        <v>405</v>
      </c>
      <c r="AP33" s="926">
        <f>AO33/AO67</f>
        <v>1.3793445454278734E-2</v>
      </c>
      <c r="AQ33" s="611"/>
      <c r="AU33" s="62"/>
      <c r="AV33" s="77">
        <f>SUM(AV28:AV32)</f>
        <v>405</v>
      </c>
      <c r="AW33" s="926">
        <f t="shared" si="0"/>
        <v>1.3792203503887915E-2</v>
      </c>
      <c r="AX33" s="611"/>
      <c r="BB33" s="62"/>
      <c r="BC33" s="77">
        <f>SUM(BC28:BC32)</f>
        <v>405</v>
      </c>
      <c r="BD33" s="926">
        <f t="shared" si="1"/>
        <v>1.3790950602599666E-2</v>
      </c>
      <c r="BE33" s="611"/>
      <c r="BI33" s="62"/>
      <c r="BJ33" s="77">
        <f>SUM(BJ28:BJ32)</f>
        <v>405</v>
      </c>
      <c r="BK33" s="926">
        <f t="shared" si="2"/>
        <v>1.3789686655891194E-2</v>
      </c>
      <c r="BL33" s="611"/>
      <c r="BP33" s="62"/>
      <c r="BQ33" s="77">
        <f>SUM(BQ28:BQ32)</f>
        <v>405</v>
      </c>
      <c r="BR33" s="926">
        <f>BQ33/BQ67</f>
        <v>1.3788411568460281E-2</v>
      </c>
      <c r="BS33" s="611"/>
      <c r="BW33" s="62"/>
      <c r="BX33" s="77">
        <f>SUM(BX28:BX32)</f>
        <v>405</v>
      </c>
      <c r="BY33" s="926">
        <f>BX33/BX67</f>
        <v>1.3787125244219494E-2</v>
      </c>
      <c r="BZ33" s="611"/>
      <c r="CD33" s="62"/>
      <c r="CE33" s="77">
        <f>SUM(CE28:CE32)</f>
        <v>405</v>
      </c>
      <c r="CF33" s="926">
        <f>CE33/CE67</f>
        <v>1.3785827586290402E-2</v>
      </c>
      <c r="CG33" s="611"/>
      <c r="CK33" s="62"/>
      <c r="CL33" s="77">
        <f>SUM(CL28:CL32)</f>
        <v>405</v>
      </c>
      <c r="CM33" s="926">
        <f>CL33/CL67</f>
        <v>1.3784518496997735E-2</v>
      </c>
      <c r="CN33" s="611"/>
      <c r="CR33" s="62"/>
      <c r="CS33" s="77">
        <f>SUM(CS28:CS32)</f>
        <v>405</v>
      </c>
      <c r="CT33" s="926">
        <f>CS33/CS67</f>
        <v>1.3783197877863518E-2</v>
      </c>
      <c r="CU33" s="611"/>
      <c r="CY33" s="62"/>
      <c r="CZ33" s="77">
        <f>SUM(CZ28:CZ32)</f>
        <v>405</v>
      </c>
      <c r="DA33" s="926">
        <f>CZ33/CZ67</f>
        <v>1.3781865629601184E-2</v>
      </c>
      <c r="DB33" s="611"/>
      <c r="DF33" s="62"/>
      <c r="DG33" s="77">
        <f>SUM(DG28:DG32)</f>
        <v>405</v>
      </c>
      <c r="DH33" s="926">
        <f t="shared" si="3"/>
        <v>1.3780521652109641E-2</v>
      </c>
      <c r="DI33" s="611"/>
      <c r="DM33" s="62"/>
      <c r="DN33" s="77">
        <f>SUM(DN28:DN32)</f>
        <v>405</v>
      </c>
      <c r="DO33" s="926">
        <f t="shared" si="4"/>
        <v>1.3779165844467331E-2</v>
      </c>
      <c r="DP33" s="611"/>
      <c r="DT33" s="62"/>
      <c r="DU33" s="77">
        <f>SUM(DU28:DU32)</f>
        <v>405</v>
      </c>
      <c r="DV33" s="926">
        <f t="shared" si="5"/>
        <v>1.377779810492623E-2</v>
      </c>
      <c r="DW33" s="611"/>
      <c r="EA33" s="62"/>
      <c r="EB33" s="77">
        <f>SUM(EB28:EB32)</f>
        <v>405</v>
      </c>
      <c r="EC33" s="926">
        <f t="shared" si="6"/>
        <v>1.3776418330905852E-2</v>
      </c>
      <c r="ED33" s="611"/>
      <c r="EH33" s="62"/>
      <c r="EI33" s="77">
        <f>SUM(EI28:EI32)</f>
        <v>405</v>
      </c>
      <c r="EJ33" s="926">
        <f t="shared" si="7"/>
        <v>1.1440344276091374E-2</v>
      </c>
    </row>
    <row r="34" spans="1:256" s="1" customFormat="1" x14ac:dyDescent="0.2">
      <c r="A34" s="156"/>
      <c r="B34" s="223"/>
      <c r="C34" s="235"/>
      <c r="D34" s="46"/>
      <c r="E34" s="273"/>
      <c r="F34" s="239"/>
      <c r="G34" s="271"/>
      <c r="H34" s="156"/>
      <c r="I34" s="223"/>
      <c r="J34" s="235"/>
      <c r="K34" s="46"/>
      <c r="L34" s="273"/>
      <c r="M34" s="239"/>
      <c r="N34" s="271">
        <f>M34/$M$67</f>
        <v>0</v>
      </c>
      <c r="O34" s="156"/>
      <c r="P34" s="223"/>
      <c r="Q34" s="235"/>
      <c r="R34" s="46"/>
      <c r="S34" s="273"/>
      <c r="T34" s="239"/>
      <c r="U34" s="271">
        <f>T34/$T$67</f>
        <v>0</v>
      </c>
      <c r="V34" s="156"/>
      <c r="W34" s="223"/>
      <c r="X34" s="235"/>
      <c r="Y34" s="46"/>
      <c r="Z34" s="273"/>
      <c r="AA34" s="239"/>
      <c r="AB34" s="271">
        <f>AA34/$AA$67</f>
        <v>0</v>
      </c>
      <c r="AC34" s="156"/>
      <c r="AD34" s="223"/>
      <c r="AE34" s="235"/>
      <c r="AF34" s="46"/>
      <c r="AG34" s="273"/>
      <c r="AH34" s="239"/>
      <c r="AI34" s="271">
        <f>AH34/$AH$67</f>
        <v>0</v>
      </c>
      <c r="AJ34" s="156"/>
      <c r="AK34" s="223"/>
      <c r="AL34" s="235"/>
      <c r="AM34" s="46"/>
      <c r="AN34" s="273"/>
      <c r="AO34" s="239"/>
      <c r="AP34" s="271"/>
      <c r="AQ34" s="156"/>
      <c r="AR34" s="223"/>
      <c r="AS34" s="235"/>
      <c r="AT34" s="46"/>
      <c r="AU34" s="273"/>
      <c r="AV34" s="239"/>
      <c r="AW34" s="271"/>
      <c r="AX34" s="156"/>
      <c r="AY34" s="223"/>
      <c r="AZ34" s="235"/>
      <c r="BA34" s="46"/>
      <c r="BB34" s="273"/>
      <c r="BC34" s="239"/>
      <c r="BD34" s="271"/>
      <c r="BE34" s="156"/>
      <c r="BF34" s="223"/>
      <c r="BG34" s="235"/>
      <c r="BH34" s="46"/>
      <c r="BI34" s="273"/>
      <c r="BJ34" s="239"/>
      <c r="BK34" s="271"/>
      <c r="BL34" s="156"/>
      <c r="BM34" s="223"/>
      <c r="BN34" s="235"/>
      <c r="BO34" s="46"/>
      <c r="BP34" s="273"/>
      <c r="BQ34" s="239"/>
      <c r="BR34" s="271"/>
      <c r="BS34" s="156"/>
      <c r="BT34" s="223"/>
      <c r="BU34" s="235"/>
      <c r="BV34" s="46"/>
      <c r="BW34" s="273"/>
      <c r="BX34" s="239"/>
      <c r="BY34" s="271"/>
      <c r="BZ34" s="156"/>
      <c r="CA34" s="223"/>
      <c r="CB34" s="235"/>
      <c r="CC34" s="46"/>
      <c r="CD34" s="273"/>
      <c r="CE34" s="239"/>
      <c r="CF34" s="271"/>
      <c r="CG34" s="156"/>
      <c r="CH34" s="223"/>
      <c r="CI34" s="235"/>
      <c r="CJ34" s="46"/>
      <c r="CK34" s="273"/>
      <c r="CL34" s="239"/>
      <c r="CM34" s="271"/>
      <c r="CN34" s="156"/>
      <c r="CO34" s="223"/>
      <c r="CP34" s="235"/>
      <c r="CQ34" s="46"/>
      <c r="CR34" s="273"/>
      <c r="CS34" s="239"/>
      <c r="CT34" s="271"/>
      <c r="CU34" s="156"/>
      <c r="CV34" s="223"/>
      <c r="CW34" s="235"/>
      <c r="CX34" s="46"/>
      <c r="CY34" s="273"/>
      <c r="CZ34" s="239"/>
      <c r="DA34" s="271"/>
      <c r="DB34" s="156"/>
      <c r="DC34" s="223"/>
      <c r="DD34" s="235"/>
      <c r="DE34" s="46"/>
      <c r="DF34" s="273"/>
      <c r="DG34" s="239"/>
      <c r="DH34" s="271"/>
      <c r="DI34" s="156"/>
      <c r="DJ34" s="223"/>
      <c r="DK34" s="235"/>
      <c r="DL34" s="46"/>
      <c r="DM34" s="273"/>
      <c r="DN34" s="239"/>
      <c r="DO34" s="271"/>
      <c r="DP34" s="156"/>
      <c r="DQ34" s="223"/>
      <c r="DR34" s="235"/>
      <c r="DS34" s="46"/>
      <c r="DT34" s="273"/>
      <c r="DU34" s="239"/>
      <c r="DV34" s="271"/>
      <c r="DW34" s="156"/>
      <c r="DX34" s="223"/>
      <c r="DY34" s="235"/>
      <c r="DZ34" s="46"/>
      <c r="EA34" s="273"/>
      <c r="EB34" s="239"/>
      <c r="EC34" s="271"/>
      <c r="ED34" s="156"/>
      <c r="EE34" s="223"/>
      <c r="EF34" s="235"/>
      <c r="EG34" s="46"/>
      <c r="EH34" s="273"/>
      <c r="EI34" s="239"/>
      <c r="EJ34" s="271"/>
    </row>
    <row r="35" spans="1:256" s="99" customFormat="1" ht="15" customHeight="1" thickBot="1" x14ac:dyDescent="0.25">
      <c r="A35" s="3" t="s">
        <v>582</v>
      </c>
      <c r="B35" s="612">
        <f>'Standard Vorgaben'!$E$177+'Standard Vorgaben'!$E$178</f>
        <v>300</v>
      </c>
      <c r="C35" s="605"/>
      <c r="D35" s="156"/>
      <c r="E35" s="606"/>
      <c r="F35" s="925">
        <f>B35+E35+'Standard Bewässerung'!$H$55</f>
        <v>1607.8</v>
      </c>
      <c r="G35" s="926">
        <f>F35/$F$67</f>
        <v>0.1583442261121481</v>
      </c>
      <c r="H35" s="3" t="s">
        <v>582</v>
      </c>
      <c r="I35" s="612">
        <f>'Standard Vorgaben'!$E$177+'Standard Vorgaben'!$E$178</f>
        <v>300</v>
      </c>
      <c r="J35" s="605"/>
      <c r="K35" s="156"/>
      <c r="L35" s="606"/>
      <c r="M35" s="925">
        <f>I35+L35+'Standard Bewässerung'!$H$55</f>
        <v>1607.8</v>
      </c>
      <c r="N35" s="926">
        <f>M35/$M$67</f>
        <v>0.12919718493458848</v>
      </c>
      <c r="O35" s="3" t="s">
        <v>582</v>
      </c>
      <c r="P35" s="612">
        <f>'Standard Vorgaben'!$E$177+'Standard Vorgaben'!$E$178</f>
        <v>300</v>
      </c>
      <c r="Q35" s="605"/>
      <c r="R35" s="156"/>
      <c r="S35" s="606"/>
      <c r="T35" s="925">
        <f>P35+S35+'Standard Bewässerung'!$H$55</f>
        <v>1607.8</v>
      </c>
      <c r="U35" s="926">
        <f>T35/$T$67</f>
        <v>8.7636752906748133E-2</v>
      </c>
      <c r="V35" s="3" t="s">
        <v>582</v>
      </c>
      <c r="W35" s="612">
        <f>'Standard Vorgaben'!$E$177+'Standard Vorgaben'!$E$178</f>
        <v>300</v>
      </c>
      <c r="X35" s="605"/>
      <c r="Y35" s="156"/>
      <c r="Z35" s="606"/>
      <c r="AA35" s="925">
        <f>W35+Z35+'Standard Bewässerung'!$H$55</f>
        <v>1607.8</v>
      </c>
      <c r="AB35" s="926">
        <f>AA35/$AA$67</f>
        <v>7.9025860792746039E-2</v>
      </c>
      <c r="AC35" s="3" t="s">
        <v>582</v>
      </c>
      <c r="AD35" s="612">
        <f>'Standard Vorgaben'!$E$177+'Standard Vorgaben'!$E$178</f>
        <v>300</v>
      </c>
      <c r="AE35" s="605"/>
      <c r="AF35" s="156"/>
      <c r="AG35" s="606"/>
      <c r="AH35" s="925">
        <f>AD35+AG35+'Standard Bewässerung'!$H$55</f>
        <v>1607.8</v>
      </c>
      <c r="AI35" s="926">
        <f>AH35/$AH$67</f>
        <v>6.0483346698778494E-2</v>
      </c>
      <c r="AJ35" s="3" t="s">
        <v>582</v>
      </c>
      <c r="AK35" s="612">
        <f>'Standard Vorgaben'!$E$177+'Standard Vorgaben'!$E$178</f>
        <v>300</v>
      </c>
      <c r="AL35" s="605"/>
      <c r="AM35" s="156"/>
      <c r="AN35" s="606"/>
      <c r="AO35" s="925">
        <f>AK35+AN35+'Standard Bewässerung'!$H$55</f>
        <v>1607.8</v>
      </c>
      <c r="AP35" s="926">
        <f>AO35/$AO$67</f>
        <v>5.475827555898604E-2</v>
      </c>
      <c r="AQ35" s="3" t="s">
        <v>582</v>
      </c>
      <c r="AR35" s="612">
        <f>'Standard Vorgaben'!$E$177+'Standard Vorgaben'!$E$178</f>
        <v>300</v>
      </c>
      <c r="AS35" s="605"/>
      <c r="AT35" s="156"/>
      <c r="AU35" s="606"/>
      <c r="AV35" s="925">
        <f>AR35+AU35+'Standard Bewässerung'!$H$55</f>
        <v>1607.8</v>
      </c>
      <c r="AW35" s="926">
        <f>AV35/$AV$67</f>
        <v>5.4753345169261704E-2</v>
      </c>
      <c r="AX35" s="3" t="s">
        <v>582</v>
      </c>
      <c r="AY35" s="612">
        <f>'Standard Vorgaben'!$E$177+'Standard Vorgaben'!$E$178</f>
        <v>300</v>
      </c>
      <c r="AZ35" s="605"/>
      <c r="BA35" s="156"/>
      <c r="BB35" s="606"/>
      <c r="BC35" s="925">
        <f>AY35+BB35+'Standard Bewässerung'!$H$55</f>
        <v>1607.8</v>
      </c>
      <c r="BD35" s="926">
        <f>BC35/$BC$67</f>
        <v>5.4748371305826528E-2</v>
      </c>
      <c r="BE35" s="3" t="s">
        <v>582</v>
      </c>
      <c r="BF35" s="612">
        <f>'Standard Vorgaben'!$E$177+'Standard Vorgaben'!$E$178</f>
        <v>300</v>
      </c>
      <c r="BG35" s="605"/>
      <c r="BH35" s="156"/>
      <c r="BI35" s="606"/>
      <c r="BJ35" s="925">
        <f>BF35+BI35+'Standard Bewässerung'!$H$55</f>
        <v>1607.8</v>
      </c>
      <c r="BK35" s="926">
        <f>BJ35/$BJ$67</f>
        <v>5.4743353593436697E-2</v>
      </c>
      <c r="BL35" s="3" t="s">
        <v>582</v>
      </c>
      <c r="BM35" s="612">
        <f>'Standard Vorgaben'!$E$177+'Standard Vorgaben'!$E$178</f>
        <v>300</v>
      </c>
      <c r="BN35" s="605"/>
      <c r="BO35" s="156"/>
      <c r="BP35" s="606"/>
      <c r="BQ35" s="925">
        <f>BM35+BP35+'Standard Bewässerung'!$H$55</f>
        <v>1607.8</v>
      </c>
      <c r="BR35" s="926">
        <f>BQ35/$BQ$67</f>
        <v>5.473829165375417E-2</v>
      </c>
      <c r="BS35" s="3" t="s">
        <v>582</v>
      </c>
      <c r="BT35" s="612">
        <f>'Standard Vorgaben'!$E$177+'Standard Vorgaben'!$E$178</f>
        <v>300</v>
      </c>
      <c r="BU35" s="605"/>
      <c r="BV35" s="156"/>
      <c r="BW35" s="606"/>
      <c r="BX35" s="925">
        <f>BT35+BW35+'Standard Bewässerung'!$H$55</f>
        <v>1607.8</v>
      </c>
      <c r="BY35" s="926">
        <f>BX35/$BX$67</f>
        <v>5.4733185105323705E-2</v>
      </c>
      <c r="BZ35" s="3" t="s">
        <v>582</v>
      </c>
      <c r="CA35" s="612">
        <f>'Standard Vorgaben'!$E$177+'Standard Vorgaben'!$E$178</f>
        <v>300</v>
      </c>
      <c r="CB35" s="605"/>
      <c r="CC35" s="156"/>
      <c r="CD35" s="606"/>
      <c r="CE35" s="925">
        <f>CA35+CD35+'Standard Bewässerung'!$H$55</f>
        <v>1607.8</v>
      </c>
      <c r="CF35" s="926">
        <f>CE35/$CE$67</f>
        <v>5.4728033563549897E-2</v>
      </c>
      <c r="CG35" s="3" t="s">
        <v>582</v>
      </c>
      <c r="CH35" s="612">
        <f>'Standard Vorgaben'!$E$177+'Standard Vorgaben'!$E$178</f>
        <v>300</v>
      </c>
      <c r="CI35" s="605"/>
      <c r="CJ35" s="156"/>
      <c r="CK35" s="606"/>
      <c r="CL35" s="925">
        <f>CH35+CK35+'Standard Bewässerung'!$H$55</f>
        <v>1607.8</v>
      </c>
      <c r="CM35" s="926">
        <f>CL35/$CL$67</f>
        <v>5.4722836640673969E-2</v>
      </c>
      <c r="CN35" s="3" t="s">
        <v>582</v>
      </c>
      <c r="CO35" s="612">
        <f>'Standard Vorgaben'!$E$177+'Standard Vorgaben'!$E$178</f>
        <v>300</v>
      </c>
      <c r="CP35" s="605"/>
      <c r="CQ35" s="156"/>
      <c r="CR35" s="606"/>
      <c r="CS35" s="925">
        <f>CO35+CR35+'Standard Bewässerung'!$H$55</f>
        <v>1607.8</v>
      </c>
      <c r="CT35" s="926">
        <f>CS35/$CS$67</f>
        <v>5.4717593945750528E-2</v>
      </c>
      <c r="CU35" s="3" t="s">
        <v>582</v>
      </c>
      <c r="CV35" s="612">
        <f>'Standard Vorgaben'!$E$177+'Standard Vorgaben'!$E$178</f>
        <v>300</v>
      </c>
      <c r="CW35" s="605"/>
      <c r="CX35" s="156"/>
      <c r="CY35" s="606"/>
      <c r="CZ35" s="925">
        <f>CV35+CY35+'Standard Bewässerung'!$H$55</f>
        <v>1607.8</v>
      </c>
      <c r="DA35" s="926">
        <f>CZ35/$CZ$67</f>
        <v>5.4712305084624158E-2</v>
      </c>
      <c r="DB35" s="3" t="s">
        <v>582</v>
      </c>
      <c r="DC35" s="612">
        <f>'Standard Vorgaben'!$E$177+'Standard Vorgaben'!$E$178</f>
        <v>300</v>
      </c>
      <c r="DD35" s="605"/>
      <c r="DE35" s="156"/>
      <c r="DF35" s="606"/>
      <c r="DG35" s="925">
        <f>DC35+DF35+'Standard Bewässerung'!$H$55</f>
        <v>1607.8</v>
      </c>
      <c r="DH35" s="926">
        <f>DG35/$DG$67</f>
        <v>5.4706969659905874E-2</v>
      </c>
      <c r="DI35" s="3" t="s">
        <v>582</v>
      </c>
      <c r="DJ35" s="612">
        <f>'Standard Vorgaben'!$E$177+'Standard Vorgaben'!$E$178</f>
        <v>300</v>
      </c>
      <c r="DK35" s="605"/>
      <c r="DL35" s="156"/>
      <c r="DM35" s="606"/>
      <c r="DN35" s="925">
        <f>DJ35+DM35+'Standard Bewässerung'!$H$55</f>
        <v>1607.8</v>
      </c>
      <c r="DO35" s="926">
        <f>DN35/$DN$67</f>
        <v>5.4701587270949564E-2</v>
      </c>
      <c r="DP35" s="3" t="s">
        <v>582</v>
      </c>
      <c r="DQ35" s="612">
        <f>'Standard Vorgaben'!$E$177+'Standard Vorgaben'!$E$178</f>
        <v>300</v>
      </c>
      <c r="DR35" s="605"/>
      <c r="DS35" s="156"/>
      <c r="DT35" s="606"/>
      <c r="DU35" s="925">
        <f>DQ35+DT35+'Standard Bewässerung'!$H$55</f>
        <v>1607.8</v>
      </c>
      <c r="DV35" s="926">
        <f>DU35/$DU$67</f>
        <v>5.4696157513828128E-2</v>
      </c>
      <c r="DW35" s="3" t="s">
        <v>582</v>
      </c>
      <c r="DX35" s="612">
        <f>'Standard Vorgaben'!$E$177+'Standard Vorgaben'!$E$178</f>
        <v>300</v>
      </c>
      <c r="DY35" s="605"/>
      <c r="DZ35" s="156"/>
      <c r="EA35" s="606"/>
      <c r="EB35" s="925">
        <f>DX35+EA35+'Standard Bewässerung'!$H$55</f>
        <v>1607.8</v>
      </c>
      <c r="EC35" s="926">
        <f>EB35/$EB$67</f>
        <v>5.4690679981309699E-2</v>
      </c>
      <c r="ED35" s="3" t="s">
        <v>582</v>
      </c>
      <c r="EE35" s="612">
        <f>'Standard Vorgaben'!$E$177+'Standard Vorgaben'!$E$178</f>
        <v>300</v>
      </c>
      <c r="EF35" s="605"/>
      <c r="EG35" s="156"/>
      <c r="EH35" s="606"/>
      <c r="EI35" s="925">
        <f>EE35+EH35+'Standard Bewässerung'!$H$55</f>
        <v>1607.8</v>
      </c>
      <c r="EJ35" s="926">
        <f>EI35/$EI$67</f>
        <v>4.5416754387900521E-2</v>
      </c>
    </row>
    <row r="36" spans="1:256" s="45" customFormat="1" ht="18.75" customHeight="1" x14ac:dyDescent="0.2">
      <c r="A36" s="614" t="s">
        <v>256</v>
      </c>
      <c r="B36" s="615"/>
      <c r="C36" s="616"/>
      <c r="D36" s="616"/>
      <c r="E36" s="617"/>
      <c r="F36" s="924">
        <f>F19+F26+F33+F35</f>
        <v>2326.8000000000002</v>
      </c>
      <c r="G36" s="927">
        <f>F36/$F$67</f>
        <v>0.22915496039168196</v>
      </c>
      <c r="H36" s="614" t="s">
        <v>256</v>
      </c>
      <c r="I36" s="615"/>
      <c r="J36" s="616"/>
      <c r="K36" s="616"/>
      <c r="L36" s="617"/>
      <c r="M36" s="924">
        <f>M19+M26+M33+M35</f>
        <v>2979.05</v>
      </c>
      <c r="N36" s="927">
        <f>M36/$M$67</f>
        <v>0.23938603917115681</v>
      </c>
      <c r="O36" s="614" t="s">
        <v>256</v>
      </c>
      <c r="P36" s="615"/>
      <c r="Q36" s="616"/>
      <c r="R36" s="616"/>
      <c r="S36" s="617"/>
      <c r="T36" s="924">
        <f>T19+T26+T33+T35</f>
        <v>3723.8</v>
      </c>
      <c r="U36" s="927">
        <f>T36/$T$67</f>
        <v>0.20297408911192233</v>
      </c>
      <c r="V36" s="614" t="s">
        <v>256</v>
      </c>
      <c r="W36" s="615"/>
      <c r="X36" s="616"/>
      <c r="Y36" s="616"/>
      <c r="Z36" s="617"/>
      <c r="AA36" s="924">
        <f>AA19+AA26+AA33+AA35</f>
        <v>4299.8</v>
      </c>
      <c r="AB36" s="927">
        <f>AA36/$AA$67</f>
        <v>0.21134183122070493</v>
      </c>
      <c r="AC36" s="614" t="s">
        <v>256</v>
      </c>
      <c r="AD36" s="615"/>
      <c r="AE36" s="616"/>
      <c r="AF36" s="616"/>
      <c r="AG36" s="617"/>
      <c r="AH36" s="924">
        <f>AH19+AH26+AH33+AH35</f>
        <v>7024.8</v>
      </c>
      <c r="AI36" s="927">
        <f>AH36/$AH$67</f>
        <v>0.26426384742479114</v>
      </c>
      <c r="AJ36" s="614" t="s">
        <v>256</v>
      </c>
      <c r="AK36" s="615"/>
      <c r="AL36" s="616"/>
      <c r="AM36" s="616"/>
      <c r="AN36" s="617"/>
      <c r="AO36" s="924">
        <f>AO19+AO26+AO33+AO35</f>
        <v>7404.8</v>
      </c>
      <c r="AP36" s="927">
        <f>AO36/$AO$67</f>
        <v>0.25219186395023002</v>
      </c>
      <c r="AQ36" s="614" t="s">
        <v>256</v>
      </c>
      <c r="AR36" s="615"/>
      <c r="AS36" s="616"/>
      <c r="AT36" s="616"/>
      <c r="AU36" s="617"/>
      <c r="AV36" s="924">
        <f>AV19+AV26+AV33+AV35</f>
        <v>7404.8</v>
      </c>
      <c r="AW36" s="927">
        <f>AV36/$AV$67</f>
        <v>0.25216915680392404</v>
      </c>
      <c r="AX36" s="614" t="s">
        <v>256</v>
      </c>
      <c r="AY36" s="615"/>
      <c r="AZ36" s="616"/>
      <c r="BA36" s="616"/>
      <c r="BB36" s="617"/>
      <c r="BC36" s="924">
        <f>BC19+BC26+BC33+BC35</f>
        <v>7404.8</v>
      </c>
      <c r="BD36" s="927">
        <f>BC36/$BC$67</f>
        <v>0.25214624943735808</v>
      </c>
      <c r="BE36" s="614" t="s">
        <v>256</v>
      </c>
      <c r="BF36" s="615"/>
      <c r="BG36" s="616"/>
      <c r="BH36" s="616"/>
      <c r="BI36" s="617"/>
      <c r="BJ36" s="924">
        <f>BJ19+BJ26+BJ33+BJ35</f>
        <v>7404.8</v>
      </c>
      <c r="BK36" s="927">
        <f>BJ36/$BJ$67</f>
        <v>0.25212314012232873</v>
      </c>
      <c r="BL36" s="614" t="s">
        <v>256</v>
      </c>
      <c r="BM36" s="615"/>
      <c r="BN36" s="616"/>
      <c r="BO36" s="616"/>
      <c r="BP36" s="617"/>
      <c r="BQ36" s="924">
        <f>BQ19+BQ26+BQ33+BQ35</f>
        <v>7404.8</v>
      </c>
      <c r="BR36" s="927">
        <f>BQ36/$BQ$67</f>
        <v>0.25209982711638196</v>
      </c>
      <c r="BS36" s="614" t="s">
        <v>256</v>
      </c>
      <c r="BT36" s="615"/>
      <c r="BU36" s="616"/>
      <c r="BV36" s="616"/>
      <c r="BW36" s="617"/>
      <c r="BX36" s="924">
        <f>BX19+BX26+BX33+BX35</f>
        <v>7404.8</v>
      </c>
      <c r="BY36" s="927">
        <f>BX36/$BX$67</f>
        <v>0.25207630866270742</v>
      </c>
      <c r="BZ36" s="614" t="s">
        <v>256</v>
      </c>
      <c r="CA36" s="615"/>
      <c r="CB36" s="616"/>
      <c r="CC36" s="616"/>
      <c r="CD36" s="617"/>
      <c r="CE36" s="924">
        <f>CE19+CE26+CE33+CE35</f>
        <v>7404.8</v>
      </c>
      <c r="CF36" s="927">
        <f>CE36/$CE$67</f>
        <v>0.25205258299003253</v>
      </c>
      <c r="CG36" s="614" t="s">
        <v>256</v>
      </c>
      <c r="CH36" s="615"/>
      <c r="CI36" s="616"/>
      <c r="CJ36" s="616"/>
      <c r="CK36" s="617"/>
      <c r="CL36" s="924">
        <f>CL19+CL26+CL33+CL35</f>
        <v>7404.8</v>
      </c>
      <c r="CM36" s="927">
        <f>CL36/$CL$67</f>
        <v>0.25202864831251565</v>
      </c>
      <c r="CN36" s="614" t="s">
        <v>256</v>
      </c>
      <c r="CO36" s="615"/>
      <c r="CP36" s="616"/>
      <c r="CQ36" s="616"/>
      <c r="CR36" s="617"/>
      <c r="CS36" s="924">
        <f>CS19+CS26+CS33+CS35</f>
        <v>7404.8</v>
      </c>
      <c r="CT36" s="927">
        <f>CS36/$CS$67</f>
        <v>0.25200450282963899</v>
      </c>
      <c r="CU36" s="614" t="s">
        <v>256</v>
      </c>
      <c r="CV36" s="615"/>
      <c r="CW36" s="616"/>
      <c r="CX36" s="616"/>
      <c r="CY36" s="617"/>
      <c r="CZ36" s="924">
        <f>CZ19+CZ26+CZ33+CZ35</f>
        <v>7404.8</v>
      </c>
      <c r="DA36" s="927">
        <f>CZ36/$CZ$67</f>
        <v>0.25198014472610086</v>
      </c>
      <c r="DB36" s="614" t="s">
        <v>256</v>
      </c>
      <c r="DC36" s="615"/>
      <c r="DD36" s="616"/>
      <c r="DE36" s="616"/>
      <c r="DF36" s="617"/>
      <c r="DG36" s="924">
        <f>DG19+DG26+DG33+DG35</f>
        <v>7404.8</v>
      </c>
      <c r="DH36" s="927">
        <f>DG36/$DG$67</f>
        <v>0.25195557217170733</v>
      </c>
      <c r="DI36" s="614" t="s">
        <v>256</v>
      </c>
      <c r="DJ36" s="615"/>
      <c r="DK36" s="616"/>
      <c r="DL36" s="616"/>
      <c r="DM36" s="617"/>
      <c r="DN36" s="924">
        <f>DN19+DN26+DN33+DN35</f>
        <v>7404.8</v>
      </c>
      <c r="DO36" s="927">
        <f>DN36/$DN$67</f>
        <v>0.2519307833212634</v>
      </c>
      <c r="DP36" s="614" t="s">
        <v>256</v>
      </c>
      <c r="DQ36" s="615"/>
      <c r="DR36" s="616"/>
      <c r="DS36" s="616"/>
      <c r="DT36" s="617"/>
      <c r="DU36" s="924">
        <f>DU19+DU26+DU33+DU35</f>
        <v>7404.8</v>
      </c>
      <c r="DV36" s="927">
        <f>DU36/$DU$67</f>
        <v>0.25190577631446359</v>
      </c>
      <c r="DW36" s="614" t="s">
        <v>256</v>
      </c>
      <c r="DX36" s="615"/>
      <c r="DY36" s="616"/>
      <c r="DZ36" s="616"/>
      <c r="EA36" s="617"/>
      <c r="EB36" s="924">
        <f>EB19+EB26+EB33+EB35</f>
        <v>7404.8</v>
      </c>
      <c r="EC36" s="927">
        <f>EB36/$EB$67</f>
        <v>0.25188054927578185</v>
      </c>
      <c r="ED36" s="614" t="s">
        <v>256</v>
      </c>
      <c r="EE36" s="615"/>
      <c r="EF36" s="616"/>
      <c r="EG36" s="616"/>
      <c r="EH36" s="617"/>
      <c r="EI36" s="924">
        <f>EI19+EI26+EI33+EI35</f>
        <v>7404.8</v>
      </c>
      <c r="EJ36" s="927">
        <f>EI36/$EI$67</f>
        <v>0.20916904023605287</v>
      </c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</row>
    <row r="37" spans="1:256" s="52" customFormat="1" ht="18.75" customHeight="1" x14ac:dyDescent="0.2">
      <c r="A37" s="3" t="s">
        <v>207</v>
      </c>
      <c r="B37" s="1"/>
      <c r="C37" s="187" t="s">
        <v>60</v>
      </c>
      <c r="D37" s="619">
        <f>'Standard Vorgaben'!$C$175</f>
        <v>10</v>
      </c>
      <c r="E37" s="62">
        <f>'Standard Vorgaben'!$D$175</f>
        <v>15</v>
      </c>
      <c r="F37" s="77">
        <f>D37*E37</f>
        <v>150</v>
      </c>
      <c r="G37" s="271">
        <f>F37/$F$67</f>
        <v>1.4772754022155875E-2</v>
      </c>
      <c r="H37" s="3" t="s">
        <v>207</v>
      </c>
      <c r="I37" s="1"/>
      <c r="J37" s="187" t="s">
        <v>60</v>
      </c>
      <c r="K37" s="619">
        <f>'Standard Vorgaben'!$C$175</f>
        <v>10</v>
      </c>
      <c r="L37" s="62">
        <f>'Standard Vorgaben'!$D$175</f>
        <v>15</v>
      </c>
      <c r="M37" s="77">
        <f>K37*L37</f>
        <v>150</v>
      </c>
      <c r="N37" s="271">
        <f>M37/$M$67</f>
        <v>1.2053475395066722E-2</v>
      </c>
      <c r="O37" s="3" t="s">
        <v>207</v>
      </c>
      <c r="P37" s="1"/>
      <c r="Q37" s="187" t="s">
        <v>60</v>
      </c>
      <c r="R37" s="619">
        <f>'Standard Vorgaben'!$C$175</f>
        <v>10</v>
      </c>
      <c r="S37" s="62">
        <f>'Standard Vorgaben'!$D$175</f>
        <v>15</v>
      </c>
      <c r="T37" s="77">
        <f>R37*S37</f>
        <v>150</v>
      </c>
      <c r="U37" s="271">
        <f>T37/$T$67</f>
        <v>8.1760871601021402E-3</v>
      </c>
      <c r="V37" s="3" t="s">
        <v>207</v>
      </c>
      <c r="W37" s="1"/>
      <c r="X37" s="187" t="s">
        <v>60</v>
      </c>
      <c r="Y37" s="619">
        <f>'Standard Vorgaben'!$C$175</f>
        <v>10</v>
      </c>
      <c r="Z37" s="62">
        <f>'Standard Vorgaben'!$D$175</f>
        <v>15</v>
      </c>
      <c r="AA37" s="77">
        <f>Y37*Z37</f>
        <v>150</v>
      </c>
      <c r="AB37" s="271">
        <f>AA37/$AA$67</f>
        <v>7.3727323789724497E-3</v>
      </c>
      <c r="AC37" s="3" t="s">
        <v>207</v>
      </c>
      <c r="AD37" s="1"/>
      <c r="AE37" s="187" t="s">
        <v>60</v>
      </c>
      <c r="AF37" s="619">
        <f>'Standard Vorgaben'!$C$175</f>
        <v>10</v>
      </c>
      <c r="AG37" s="62">
        <f>'Standard Vorgaben'!$D$175</f>
        <v>15</v>
      </c>
      <c r="AH37" s="77">
        <f>AF37*AG37</f>
        <v>150</v>
      </c>
      <c r="AI37" s="271">
        <f>AH37/$AH$67</f>
        <v>5.642805078253996E-3</v>
      </c>
      <c r="AJ37" s="3" t="s">
        <v>207</v>
      </c>
      <c r="AK37" s="1"/>
      <c r="AL37" s="187" t="s">
        <v>60</v>
      </c>
      <c r="AM37" s="619">
        <f>'Standard Vorgaben'!$C$175</f>
        <v>10</v>
      </c>
      <c r="AN37" s="62">
        <f>'Standard Vorgaben'!$D$175</f>
        <v>15</v>
      </c>
      <c r="AO37" s="77">
        <f>AM37*AN37</f>
        <v>150</v>
      </c>
      <c r="AP37" s="271">
        <f>AO37/$AO$67</f>
        <v>5.1086835015847157E-3</v>
      </c>
      <c r="AQ37" s="3" t="s">
        <v>207</v>
      </c>
      <c r="AR37" s="1"/>
      <c r="AS37" s="187" t="s">
        <v>60</v>
      </c>
      <c r="AT37" s="619">
        <f>'Standard Vorgaben'!$C$175</f>
        <v>10</v>
      </c>
      <c r="AU37" s="62">
        <f>'Standard Vorgaben'!$D$175</f>
        <v>15</v>
      </c>
      <c r="AV37" s="77">
        <f>AT37*AU37</f>
        <v>150</v>
      </c>
      <c r="AW37" s="271">
        <f>AV37/$AV$67</f>
        <v>5.1082235199584871E-3</v>
      </c>
      <c r="AX37" s="3" t="s">
        <v>207</v>
      </c>
      <c r="AY37" s="1"/>
      <c r="AZ37" s="187" t="s">
        <v>60</v>
      </c>
      <c r="BA37" s="619">
        <f>'Standard Vorgaben'!$C$175</f>
        <v>10</v>
      </c>
      <c r="BB37" s="62">
        <f>'Standard Vorgaben'!$D$175</f>
        <v>15</v>
      </c>
      <c r="BC37" s="77">
        <f>BA37*BB37</f>
        <v>150</v>
      </c>
      <c r="BD37" s="271">
        <f>BC37/$BC$67</f>
        <v>5.1077594824443214E-3</v>
      </c>
      <c r="BE37" s="3" t="s">
        <v>207</v>
      </c>
      <c r="BF37" s="1"/>
      <c r="BG37" s="187" t="s">
        <v>60</v>
      </c>
      <c r="BH37" s="619">
        <f>'Standard Vorgaben'!$C$175</f>
        <v>10</v>
      </c>
      <c r="BI37" s="62">
        <f>'Standard Vorgaben'!$D$175</f>
        <v>15</v>
      </c>
      <c r="BJ37" s="77">
        <f>BH37*BI37</f>
        <v>150</v>
      </c>
      <c r="BK37" s="271">
        <f>BJ37/$BJ$67</f>
        <v>5.1072913540337762E-3</v>
      </c>
      <c r="BL37" s="3" t="s">
        <v>207</v>
      </c>
      <c r="BM37" s="1"/>
      <c r="BN37" s="187" t="s">
        <v>60</v>
      </c>
      <c r="BO37" s="619">
        <f>'Standard Vorgaben'!$C$175</f>
        <v>10</v>
      </c>
      <c r="BP37" s="62">
        <f>'Standard Vorgaben'!$D$175</f>
        <v>15</v>
      </c>
      <c r="BQ37" s="77">
        <f>BO37*BP37</f>
        <v>150</v>
      </c>
      <c r="BR37" s="271">
        <f>BQ37/$BQ$67</f>
        <v>5.1068190994297338E-3</v>
      </c>
      <c r="BS37" s="3" t="s">
        <v>207</v>
      </c>
      <c r="BT37" s="1"/>
      <c r="BU37" s="187" t="s">
        <v>60</v>
      </c>
      <c r="BV37" s="619">
        <f>'Standard Vorgaben'!$C$175</f>
        <v>10</v>
      </c>
      <c r="BW37" s="62">
        <f>'Standard Vorgaben'!$D$175</f>
        <v>15</v>
      </c>
      <c r="BX37" s="77">
        <f>BV37*BW37</f>
        <v>150</v>
      </c>
      <c r="BY37" s="271">
        <f>BX37/$BX$67</f>
        <v>5.1063426830442573E-3</v>
      </c>
      <c r="BZ37" s="3" t="s">
        <v>207</v>
      </c>
      <c r="CA37" s="1"/>
      <c r="CB37" s="187" t="s">
        <v>60</v>
      </c>
      <c r="CC37" s="619">
        <f>'Standard Vorgaben'!$C$175</f>
        <v>10</v>
      </c>
      <c r="CD37" s="62">
        <f>'Standard Vorgaben'!$D$175</f>
        <v>15</v>
      </c>
      <c r="CE37" s="77">
        <f>CC37*CD37</f>
        <v>150</v>
      </c>
      <c r="CF37" s="271">
        <f>CE37/$CE$67</f>
        <v>5.1058620689964449E-3</v>
      </c>
      <c r="CG37" s="3" t="s">
        <v>207</v>
      </c>
      <c r="CH37" s="1"/>
      <c r="CI37" s="187" t="s">
        <v>60</v>
      </c>
      <c r="CJ37" s="619">
        <f>'Standard Vorgaben'!$C$175</f>
        <v>10</v>
      </c>
      <c r="CK37" s="62">
        <f>'Standard Vorgaben'!$D$175</f>
        <v>15</v>
      </c>
      <c r="CL37" s="77">
        <f>CJ37*CK37</f>
        <v>150</v>
      </c>
      <c r="CM37" s="271">
        <f>CL37/$CL$67</f>
        <v>5.1053772211102728E-3</v>
      </c>
      <c r="CN37" s="3" t="s">
        <v>207</v>
      </c>
      <c r="CO37" s="1"/>
      <c r="CP37" s="187" t="s">
        <v>60</v>
      </c>
      <c r="CQ37" s="619">
        <f>'Standard Vorgaben'!$C$175</f>
        <v>10</v>
      </c>
      <c r="CR37" s="62">
        <f>'Standard Vorgaben'!$D$175</f>
        <v>15</v>
      </c>
      <c r="CS37" s="77">
        <f>CQ37*CR37</f>
        <v>150</v>
      </c>
      <c r="CT37" s="271">
        <f>CS37/$CS$67</f>
        <v>5.104888102912414E-3</v>
      </c>
      <c r="CU37" s="3" t="s">
        <v>207</v>
      </c>
      <c r="CV37" s="1"/>
      <c r="CW37" s="187" t="s">
        <v>60</v>
      </c>
      <c r="CX37" s="619">
        <f>'Standard Vorgaben'!$C$175</f>
        <v>10</v>
      </c>
      <c r="CY37" s="62">
        <f>'Standard Vorgaben'!$D$175</f>
        <v>15</v>
      </c>
      <c r="CZ37" s="77">
        <f>CX37*CY37</f>
        <v>150</v>
      </c>
      <c r="DA37" s="271">
        <f>CZ37/$CZ$67</f>
        <v>5.1043946776300683E-3</v>
      </c>
      <c r="DB37" s="3" t="s">
        <v>207</v>
      </c>
      <c r="DC37" s="1"/>
      <c r="DD37" s="187" t="s">
        <v>60</v>
      </c>
      <c r="DE37" s="619">
        <f>'Standard Vorgaben'!$C$175</f>
        <v>10</v>
      </c>
      <c r="DF37" s="62">
        <f>'Standard Vorgaben'!$D$175</f>
        <v>15</v>
      </c>
      <c r="DG37" s="77">
        <f>DE37*DF37</f>
        <v>150</v>
      </c>
      <c r="DH37" s="271">
        <f>DG37/$DG$67</f>
        <v>5.1038969081887561E-3</v>
      </c>
      <c r="DI37" s="3" t="s">
        <v>207</v>
      </c>
      <c r="DJ37" s="1"/>
      <c r="DK37" s="187" t="s">
        <v>60</v>
      </c>
      <c r="DL37" s="619">
        <f>'Standard Vorgaben'!$C$175</f>
        <v>10</v>
      </c>
      <c r="DM37" s="62">
        <f>'Standard Vorgaben'!$D$175</f>
        <v>15</v>
      </c>
      <c r="DN37" s="77">
        <f>DL37*DM37</f>
        <v>150</v>
      </c>
      <c r="DO37" s="271">
        <f>DN37/$DN$67</f>
        <v>5.1033947572101225E-3</v>
      </c>
      <c r="DP37" s="3" t="s">
        <v>207</v>
      </c>
      <c r="DQ37" s="1"/>
      <c r="DR37" s="187" t="s">
        <v>60</v>
      </c>
      <c r="DS37" s="619">
        <f>'Standard Vorgaben'!$C$175</f>
        <v>10</v>
      </c>
      <c r="DT37" s="62">
        <f>'Standard Vorgaben'!$D$175</f>
        <v>15</v>
      </c>
      <c r="DU37" s="77">
        <f>DS37*DT37</f>
        <v>150</v>
      </c>
      <c r="DV37" s="271">
        <f>DU37/$DU$67</f>
        <v>5.1028881870097149E-3</v>
      </c>
      <c r="DW37" s="3" t="s">
        <v>207</v>
      </c>
      <c r="DX37" s="1"/>
      <c r="DY37" s="187" t="s">
        <v>60</v>
      </c>
      <c r="DZ37" s="619">
        <f>'Standard Vorgaben'!$C$175</f>
        <v>10</v>
      </c>
      <c r="EA37" s="62">
        <f>'Standard Vorgaben'!$D$175</f>
        <v>15</v>
      </c>
      <c r="EB37" s="77">
        <f>DZ37*EA37</f>
        <v>150</v>
      </c>
      <c r="EC37" s="271">
        <f>EB37/$EB$67</f>
        <v>5.1023771595947601E-3</v>
      </c>
      <c r="ED37" s="3" t="s">
        <v>207</v>
      </c>
      <c r="EE37" s="1"/>
      <c r="EF37" s="187" t="s">
        <v>60</v>
      </c>
      <c r="EG37" s="619">
        <f>'Standard Vorgaben'!$C$175</f>
        <v>10</v>
      </c>
      <c r="EH37" s="62">
        <f>'Standard Vorgaben'!$D$175</f>
        <v>15</v>
      </c>
      <c r="EI37" s="77">
        <f>EG37*EH37</f>
        <v>150</v>
      </c>
      <c r="EJ37" s="271">
        <f>EI37/$EI$67</f>
        <v>4.2371645467005094E-3</v>
      </c>
    </row>
    <row r="38" spans="1:256" ht="17.25" customHeight="1" x14ac:dyDescent="0.2">
      <c r="A38"/>
      <c r="B38"/>
      <c r="C38" s="49" t="s">
        <v>11</v>
      </c>
      <c r="D38" s="123" t="s">
        <v>20</v>
      </c>
      <c r="E38" s="128" t="s">
        <v>61</v>
      </c>
      <c r="F38" s="124" t="s">
        <v>22</v>
      </c>
      <c r="G38" s="42"/>
      <c r="H38"/>
      <c r="I38"/>
      <c r="J38" s="49" t="s">
        <v>11</v>
      </c>
      <c r="K38" s="123" t="s">
        <v>20</v>
      </c>
      <c r="L38" s="10" t="s">
        <v>61</v>
      </c>
      <c r="M38" s="124" t="s">
        <v>22</v>
      </c>
      <c r="N38" s="42"/>
      <c r="Q38" s="49" t="s">
        <v>11</v>
      </c>
      <c r="R38" s="123" t="s">
        <v>20</v>
      </c>
      <c r="S38" s="10" t="s">
        <v>61</v>
      </c>
      <c r="T38" s="124" t="s">
        <v>22</v>
      </c>
      <c r="U38" s="42"/>
      <c r="X38" s="49" t="s">
        <v>11</v>
      </c>
      <c r="Y38" s="123" t="s">
        <v>20</v>
      </c>
      <c r="Z38" s="10" t="s">
        <v>61</v>
      </c>
      <c r="AA38" s="124" t="s">
        <v>22</v>
      </c>
      <c r="AB38" s="42"/>
      <c r="AE38" s="49" t="s">
        <v>11</v>
      </c>
      <c r="AF38" s="123" t="s">
        <v>20</v>
      </c>
      <c r="AG38" s="10" t="s">
        <v>61</v>
      </c>
      <c r="AH38" s="124" t="s">
        <v>22</v>
      </c>
      <c r="AI38" s="42"/>
      <c r="AL38" s="49" t="s">
        <v>11</v>
      </c>
      <c r="AM38" s="123" t="s">
        <v>20</v>
      </c>
      <c r="AN38" s="10" t="s">
        <v>61</v>
      </c>
      <c r="AO38" s="124" t="s">
        <v>22</v>
      </c>
      <c r="AP38" s="42"/>
      <c r="AS38" s="49" t="s">
        <v>11</v>
      </c>
      <c r="AT38" s="123" t="s">
        <v>20</v>
      </c>
      <c r="AU38" s="10" t="s">
        <v>61</v>
      </c>
      <c r="AV38" s="124" t="s">
        <v>22</v>
      </c>
      <c r="AW38" s="42"/>
      <c r="AZ38" s="49" t="s">
        <v>11</v>
      </c>
      <c r="BA38" s="123" t="s">
        <v>20</v>
      </c>
      <c r="BB38" s="10" t="s">
        <v>61</v>
      </c>
      <c r="BC38" s="124" t="s">
        <v>22</v>
      </c>
      <c r="BD38" s="42"/>
      <c r="BG38" s="49" t="s">
        <v>11</v>
      </c>
      <c r="BH38" s="123" t="s">
        <v>20</v>
      </c>
      <c r="BI38" s="10" t="s">
        <v>61</v>
      </c>
      <c r="BJ38" s="124" t="s">
        <v>22</v>
      </c>
      <c r="BK38" s="42"/>
      <c r="BN38" s="49" t="s">
        <v>11</v>
      </c>
      <c r="BO38" s="123" t="s">
        <v>20</v>
      </c>
      <c r="BP38" s="10" t="s">
        <v>61</v>
      </c>
      <c r="BQ38" s="124" t="s">
        <v>22</v>
      </c>
      <c r="BR38" s="42"/>
      <c r="BU38" s="49" t="s">
        <v>11</v>
      </c>
      <c r="BV38" s="123" t="s">
        <v>20</v>
      </c>
      <c r="BW38" s="10" t="s">
        <v>61</v>
      </c>
      <c r="BX38" s="124" t="s">
        <v>22</v>
      </c>
      <c r="BY38" s="42"/>
      <c r="CB38" s="49" t="s">
        <v>11</v>
      </c>
      <c r="CC38" s="123" t="s">
        <v>20</v>
      </c>
      <c r="CD38" s="10" t="s">
        <v>61</v>
      </c>
      <c r="CE38" s="124" t="s">
        <v>22</v>
      </c>
      <c r="CF38" s="42"/>
      <c r="CI38" s="49" t="s">
        <v>11</v>
      </c>
      <c r="CJ38" s="123" t="s">
        <v>20</v>
      </c>
      <c r="CK38" s="10" t="s">
        <v>61</v>
      </c>
      <c r="CL38" s="124" t="s">
        <v>22</v>
      </c>
      <c r="CM38" s="42"/>
      <c r="CP38" s="49" t="s">
        <v>11</v>
      </c>
      <c r="CQ38" s="123" t="s">
        <v>20</v>
      </c>
      <c r="CR38" s="10" t="s">
        <v>61</v>
      </c>
      <c r="CS38" s="124" t="s">
        <v>22</v>
      </c>
      <c r="CT38" s="42"/>
      <c r="CW38" s="49" t="s">
        <v>11</v>
      </c>
      <c r="CX38" s="123" t="s">
        <v>20</v>
      </c>
      <c r="CY38" s="10" t="s">
        <v>61</v>
      </c>
      <c r="CZ38" s="124" t="s">
        <v>22</v>
      </c>
      <c r="DA38" s="42"/>
      <c r="DD38" s="49" t="s">
        <v>11</v>
      </c>
      <c r="DE38" s="123" t="s">
        <v>20</v>
      </c>
      <c r="DF38" s="10" t="s">
        <v>61</v>
      </c>
      <c r="DG38" s="124" t="s">
        <v>22</v>
      </c>
      <c r="DH38" s="42"/>
      <c r="DK38" s="49" t="s">
        <v>11</v>
      </c>
      <c r="DL38" s="123" t="s">
        <v>20</v>
      </c>
      <c r="DM38" s="10" t="s">
        <v>61</v>
      </c>
      <c r="DN38" s="124" t="s">
        <v>22</v>
      </c>
      <c r="DO38" s="42"/>
      <c r="DR38" s="49" t="s">
        <v>11</v>
      </c>
      <c r="DS38" s="123" t="s">
        <v>20</v>
      </c>
      <c r="DT38" s="10" t="s">
        <v>61</v>
      </c>
      <c r="DU38" s="124" t="s">
        <v>22</v>
      </c>
      <c r="DV38" s="42"/>
      <c r="DY38" s="49" t="s">
        <v>11</v>
      </c>
      <c r="DZ38" s="123" t="s">
        <v>20</v>
      </c>
      <c r="EA38" s="10" t="s">
        <v>61</v>
      </c>
      <c r="EB38" s="124" t="s">
        <v>22</v>
      </c>
      <c r="EC38" s="42"/>
      <c r="EF38" s="49" t="s">
        <v>11</v>
      </c>
      <c r="EG38" s="123" t="s">
        <v>20</v>
      </c>
      <c r="EH38" s="10" t="s">
        <v>61</v>
      </c>
      <c r="EI38" s="124" t="s">
        <v>22</v>
      </c>
      <c r="EJ38" s="42"/>
    </row>
    <row r="39" spans="1:256" s="99" customFormat="1" x14ac:dyDescent="0.2">
      <c r="A39" s="106" t="s">
        <v>103</v>
      </c>
      <c r="B39" s="99" t="str">
        <f>'Standard Vorgaben'!$B$150</f>
        <v>Anbaugebläsepritze 1000 l</v>
      </c>
      <c r="C39" s="1242">
        <v>3</v>
      </c>
      <c r="D39" s="503">
        <f>'Standard Vorgaben'!$C$150</f>
        <v>1</v>
      </c>
      <c r="E39" s="213">
        <f>'Standard Vorgaben'!$D$150</f>
        <v>37</v>
      </c>
      <c r="F39" s="120">
        <f>C39*E39</f>
        <v>111</v>
      </c>
      <c r="G39" s="613">
        <f>F39/$F$67</f>
        <v>1.0931837976395348E-2</v>
      </c>
      <c r="H39" s="106" t="s">
        <v>103</v>
      </c>
      <c r="I39" s="99" t="str">
        <f>'Standard Vorgaben'!$B$150</f>
        <v>Anbaugebläsepritze 1000 l</v>
      </c>
      <c r="J39" s="1243">
        <v>7</v>
      </c>
      <c r="K39" s="503">
        <f>'Standard Vorgaben'!$C$150</f>
        <v>1</v>
      </c>
      <c r="L39" s="213">
        <f>'Standard Vorgaben'!$D$150</f>
        <v>37</v>
      </c>
      <c r="M39" s="120">
        <f>J39*L39</f>
        <v>259</v>
      </c>
      <c r="N39" s="613">
        <f>M39/$M$67</f>
        <v>2.0812334182148538E-2</v>
      </c>
      <c r="O39" s="106" t="s">
        <v>103</v>
      </c>
      <c r="P39" s="99" t="str">
        <f>'Standard Vorgaben'!$B$150</f>
        <v>Anbaugebläsepritze 1000 l</v>
      </c>
      <c r="Q39" s="1243">
        <v>12</v>
      </c>
      <c r="R39" s="503">
        <f>'Standard Vorgaben'!$C$150</f>
        <v>1</v>
      </c>
      <c r="S39" s="213">
        <f>'Standard Vorgaben'!$D$150</f>
        <v>37</v>
      </c>
      <c r="T39" s="120">
        <f>Q39*S39</f>
        <v>444</v>
      </c>
      <c r="U39" s="613">
        <f>T39/$T$67</f>
        <v>2.4201217993902333E-2</v>
      </c>
      <c r="V39" s="106" t="s">
        <v>103</v>
      </c>
      <c r="W39" s="99" t="str">
        <f>'Standard Vorgaben'!$B$150</f>
        <v>Anbaugebläsepritze 1000 l</v>
      </c>
      <c r="X39" s="1243">
        <v>12</v>
      </c>
      <c r="Y39" s="503">
        <f>'Standard Vorgaben'!$C$150</f>
        <v>1</v>
      </c>
      <c r="Z39" s="213">
        <f>'Standard Vorgaben'!$D$150</f>
        <v>37</v>
      </c>
      <c r="AA39" s="120">
        <f>X39*Z39</f>
        <v>444</v>
      </c>
      <c r="AB39" s="613">
        <f>AA39/$AA$67</f>
        <v>2.1823287841758451E-2</v>
      </c>
      <c r="AC39" s="106" t="s">
        <v>103</v>
      </c>
      <c r="AD39" s="99" t="str">
        <f>'Standard Vorgaben'!$B$150</f>
        <v>Anbaugebläsepritze 1000 l</v>
      </c>
      <c r="AE39" s="505">
        <f>'Standard Ertragsphase'!$C$37</f>
        <v>25</v>
      </c>
      <c r="AF39" s="503">
        <f>'Standard Vorgaben'!$C$150</f>
        <v>1</v>
      </c>
      <c r="AG39" s="213">
        <f>'Standard Vorgaben'!$D$150</f>
        <v>37</v>
      </c>
      <c r="AH39" s="120">
        <f>AE39*AG39</f>
        <v>925</v>
      </c>
      <c r="AI39" s="613">
        <f>AH39/$AH$67</f>
        <v>3.4797297982566311E-2</v>
      </c>
      <c r="AJ39" s="106" t="s">
        <v>103</v>
      </c>
      <c r="AK39" s="99" t="str">
        <f>'Standard Vorgaben'!$B$150</f>
        <v>Anbaugebläsepritze 1000 l</v>
      </c>
      <c r="AL39" s="505">
        <f>'Standard Ertragsphase'!$C$37</f>
        <v>25</v>
      </c>
      <c r="AM39" s="503">
        <f>'Standard Vorgaben'!$C$150</f>
        <v>1</v>
      </c>
      <c r="AN39" s="213">
        <f>'Standard Vorgaben'!$D$150</f>
        <v>37</v>
      </c>
      <c r="AO39" s="120">
        <f>AL39*AN39</f>
        <v>925</v>
      </c>
      <c r="AP39" s="613">
        <f>AO39/$AO$67</f>
        <v>3.1503548259772418E-2</v>
      </c>
      <c r="AQ39" s="106" t="s">
        <v>103</v>
      </c>
      <c r="AR39" s="99" t="str">
        <f>'Standard Vorgaben'!$B$150</f>
        <v>Anbaugebläsepritze 1000 l</v>
      </c>
      <c r="AS39" s="505">
        <f>'Standard Ertragsphase'!$C$37</f>
        <v>25</v>
      </c>
      <c r="AT39" s="503">
        <f>'Standard Vorgaben'!$C$150</f>
        <v>1</v>
      </c>
      <c r="AU39" s="213">
        <f>'Standard Vorgaben'!$D$150</f>
        <v>37</v>
      </c>
      <c r="AV39" s="120">
        <f>AS39*AU39</f>
        <v>925</v>
      </c>
      <c r="AW39" s="613">
        <f>AV39/$AV$67</f>
        <v>3.1500711706410674E-2</v>
      </c>
      <c r="AX39" s="106" t="s">
        <v>103</v>
      </c>
      <c r="AY39" s="99" t="str">
        <f>'Standard Vorgaben'!$B$150</f>
        <v>Anbaugebläsepritze 1000 l</v>
      </c>
      <c r="AZ39" s="505">
        <f>'Standard Ertragsphase'!$C$37</f>
        <v>25</v>
      </c>
      <c r="BA39" s="503">
        <f>'Standard Vorgaben'!$C$150</f>
        <v>1</v>
      </c>
      <c r="BB39" s="213">
        <f>'Standard Vorgaben'!$D$150</f>
        <v>37</v>
      </c>
      <c r="BC39" s="120">
        <f>AZ39*BB39</f>
        <v>925</v>
      </c>
      <c r="BD39" s="613">
        <f>BC39/$BC$67</f>
        <v>3.1497850141739982E-2</v>
      </c>
      <c r="BE39" s="106" t="s">
        <v>103</v>
      </c>
      <c r="BF39" s="99" t="str">
        <f>'Standard Vorgaben'!$B$150</f>
        <v>Anbaugebläsepritze 1000 l</v>
      </c>
      <c r="BG39" s="505">
        <f>'Standard Ertragsphase'!$C$37</f>
        <v>25</v>
      </c>
      <c r="BH39" s="503">
        <f>'Standard Vorgaben'!$C$150</f>
        <v>1</v>
      </c>
      <c r="BI39" s="213">
        <f>'Standard Vorgaben'!$D$150</f>
        <v>37</v>
      </c>
      <c r="BJ39" s="120">
        <f>BG39*BI39</f>
        <v>925</v>
      </c>
      <c r="BK39" s="613">
        <f>BJ39/$BJ$67</f>
        <v>3.1494963349874949E-2</v>
      </c>
      <c r="BL39" s="106" t="s">
        <v>103</v>
      </c>
      <c r="BM39" s="99" t="str">
        <f>'Standard Vorgaben'!$B$150</f>
        <v>Anbaugebläsepritze 1000 l</v>
      </c>
      <c r="BN39" s="505">
        <f>'Standard Ertragsphase'!$C$37</f>
        <v>25</v>
      </c>
      <c r="BO39" s="503">
        <f>'Standard Vorgaben'!$C$150</f>
        <v>1</v>
      </c>
      <c r="BP39" s="213">
        <f>'Standard Vorgaben'!$D$150</f>
        <v>37</v>
      </c>
      <c r="BQ39" s="120">
        <f>BN39*BP39</f>
        <v>925</v>
      </c>
      <c r="BR39" s="613">
        <f>BQ39/$BQ$67</f>
        <v>3.1492051113150024E-2</v>
      </c>
      <c r="BS39" s="106" t="s">
        <v>103</v>
      </c>
      <c r="BT39" s="99" t="str">
        <f>'Standard Vorgaben'!$B$150</f>
        <v>Anbaugebläsepritze 1000 l</v>
      </c>
      <c r="BU39" s="505">
        <f>'Standard Ertragsphase'!$C$37</f>
        <v>25</v>
      </c>
      <c r="BV39" s="503">
        <f>'Standard Vorgaben'!$C$150</f>
        <v>1</v>
      </c>
      <c r="BW39" s="213">
        <f>'Standard Vorgaben'!$D$150</f>
        <v>37</v>
      </c>
      <c r="BX39" s="120">
        <f>BU39*BW39</f>
        <v>925</v>
      </c>
      <c r="BY39" s="613">
        <f>BX39/$BX$67</f>
        <v>3.1489113212106248E-2</v>
      </c>
      <c r="BZ39" s="106" t="s">
        <v>103</v>
      </c>
      <c r="CA39" s="99" t="str">
        <f>'Standard Vorgaben'!$B$150</f>
        <v>Anbaugebläsepritze 1000 l</v>
      </c>
      <c r="CB39" s="505">
        <f>'Standard Ertragsphase'!$C$37</f>
        <v>25</v>
      </c>
      <c r="CC39" s="503">
        <f>'Standard Vorgaben'!$C$150</f>
        <v>1</v>
      </c>
      <c r="CD39" s="213">
        <f>'Standard Vorgaben'!$D$150</f>
        <v>37</v>
      </c>
      <c r="CE39" s="120">
        <f>CB39*CD39</f>
        <v>925</v>
      </c>
      <c r="CF39" s="613">
        <f>CE39/$CE$67</f>
        <v>3.1486149425478081E-2</v>
      </c>
      <c r="CG39" s="106" t="s">
        <v>103</v>
      </c>
      <c r="CH39" s="99" t="str">
        <f>'Standard Vorgaben'!$B$150</f>
        <v>Anbaugebläsepritze 1000 l</v>
      </c>
      <c r="CI39" s="505">
        <f>'Standard Ertragsphase'!$C$37</f>
        <v>25</v>
      </c>
      <c r="CJ39" s="503">
        <f>'Standard Vorgaben'!$C$150</f>
        <v>1</v>
      </c>
      <c r="CK39" s="213">
        <f>'Standard Vorgaben'!$D$150</f>
        <v>37</v>
      </c>
      <c r="CL39" s="120">
        <f>CI39*CK39</f>
        <v>925</v>
      </c>
      <c r="CM39" s="613">
        <f>CL39/$CL$67</f>
        <v>3.1483159530180015E-2</v>
      </c>
      <c r="CN39" s="106" t="s">
        <v>103</v>
      </c>
      <c r="CO39" s="99" t="str">
        <f>'Standard Vorgaben'!$B$150</f>
        <v>Anbaugebläsepritze 1000 l</v>
      </c>
      <c r="CP39" s="505">
        <f>'Standard Ertragsphase'!$C$37</f>
        <v>25</v>
      </c>
      <c r="CQ39" s="503">
        <f>'Standard Vorgaben'!$C$150</f>
        <v>1</v>
      </c>
      <c r="CR39" s="213">
        <f>'Standard Vorgaben'!$D$150</f>
        <v>37</v>
      </c>
      <c r="CS39" s="120">
        <f>CP39*CR39</f>
        <v>925</v>
      </c>
      <c r="CT39" s="613">
        <f>CS39/$CS$67</f>
        <v>3.1480143301293222E-2</v>
      </c>
      <c r="CU39" s="106" t="s">
        <v>103</v>
      </c>
      <c r="CV39" s="99" t="str">
        <f>'Standard Vorgaben'!$B$150</f>
        <v>Anbaugebläsepritze 1000 l</v>
      </c>
      <c r="CW39" s="505">
        <f>'Standard Ertragsphase'!$C$37</f>
        <v>25</v>
      </c>
      <c r="CX39" s="503">
        <f>'Standard Vorgaben'!$C$150</f>
        <v>1</v>
      </c>
      <c r="CY39" s="213">
        <f>'Standard Vorgaben'!$D$150</f>
        <v>37</v>
      </c>
      <c r="CZ39" s="120">
        <f>CW39*CY39</f>
        <v>925</v>
      </c>
      <c r="DA39" s="613">
        <f>CZ39/$CZ$67</f>
        <v>3.1477100512052089E-2</v>
      </c>
      <c r="DB39" s="106" t="s">
        <v>103</v>
      </c>
      <c r="DC39" s="99" t="str">
        <f>'Standard Vorgaben'!$B$150</f>
        <v>Anbaugebläsepritze 1000 l</v>
      </c>
      <c r="DD39" s="505">
        <f>'Standard Ertragsphase'!$C$37</f>
        <v>25</v>
      </c>
      <c r="DE39" s="503">
        <f>'Standard Vorgaben'!$C$150</f>
        <v>1</v>
      </c>
      <c r="DF39" s="213">
        <f>'Standard Vorgaben'!$D$150</f>
        <v>37</v>
      </c>
      <c r="DG39" s="120">
        <f>DD39*DF39</f>
        <v>925</v>
      </c>
      <c r="DH39" s="613">
        <f>DG39/$DG$67</f>
        <v>3.1474030933830659E-2</v>
      </c>
      <c r="DI39" s="106" t="s">
        <v>103</v>
      </c>
      <c r="DJ39" s="99" t="str">
        <f>'Standard Vorgaben'!$B$150</f>
        <v>Anbaugebläsepritze 1000 l</v>
      </c>
      <c r="DK39" s="505">
        <f>'Standard Ertragsphase'!$C$37</f>
        <v>25</v>
      </c>
      <c r="DL39" s="503">
        <f>'Standard Vorgaben'!$C$150</f>
        <v>1</v>
      </c>
      <c r="DM39" s="213">
        <f>'Standard Vorgaben'!$D$150</f>
        <v>37</v>
      </c>
      <c r="DN39" s="120">
        <f>DK39*DM39</f>
        <v>925</v>
      </c>
      <c r="DO39" s="613">
        <f>DN39/$DN$67</f>
        <v>3.1470934336129089E-2</v>
      </c>
      <c r="DP39" s="106" t="s">
        <v>103</v>
      </c>
      <c r="DQ39" s="99" t="str">
        <f>'Standard Vorgaben'!$B$150</f>
        <v>Anbaugebläsepritze 1000 l</v>
      </c>
      <c r="DR39" s="505">
        <f>'Standard Ertragsphase'!$C$37</f>
        <v>25</v>
      </c>
      <c r="DS39" s="503">
        <f>'Standard Vorgaben'!$C$150</f>
        <v>1</v>
      </c>
      <c r="DT39" s="213">
        <f>'Standard Vorgaben'!$D$150</f>
        <v>37</v>
      </c>
      <c r="DU39" s="120">
        <f>DR39*DT39</f>
        <v>925</v>
      </c>
      <c r="DV39" s="613">
        <f>DU39/$DU$67</f>
        <v>3.1467810486559909E-2</v>
      </c>
      <c r="DW39" s="106" t="s">
        <v>103</v>
      </c>
      <c r="DX39" s="99" t="str">
        <f>'Standard Vorgaben'!$B$150</f>
        <v>Anbaugebläsepritze 1000 l</v>
      </c>
      <c r="DY39" s="505">
        <f>'Standard Ertragsphase'!$C$37</f>
        <v>25</v>
      </c>
      <c r="DZ39" s="503">
        <f>'Standard Vorgaben'!$C$150</f>
        <v>1</v>
      </c>
      <c r="EA39" s="213">
        <f>'Standard Vorgaben'!$D$150</f>
        <v>37</v>
      </c>
      <c r="EB39" s="120">
        <f>DY39*EA39</f>
        <v>925</v>
      </c>
      <c r="EC39" s="613">
        <f>EB39/$EB$67</f>
        <v>3.1464659150834351E-2</v>
      </c>
      <c r="ED39" s="106" t="s">
        <v>103</v>
      </c>
      <c r="EE39" s="99" t="str">
        <f>'Standard Vorgaben'!$B$150</f>
        <v>Anbaugebläsepritze 1000 l</v>
      </c>
      <c r="EF39" s="505">
        <f>'Standard Ertragsphase'!$C$37</f>
        <v>25</v>
      </c>
      <c r="EG39" s="503">
        <f>'Standard Vorgaben'!$C$150</f>
        <v>1</v>
      </c>
      <c r="EH39" s="213">
        <f>'Standard Vorgaben'!$D$150</f>
        <v>37</v>
      </c>
      <c r="EI39" s="120">
        <f>EF39*EH39</f>
        <v>925</v>
      </c>
      <c r="EJ39" s="613">
        <f>EI39/$EI$67</f>
        <v>2.6129181371319806E-2</v>
      </c>
    </row>
    <row r="40" spans="1:256" s="99" customFormat="1" x14ac:dyDescent="0.2">
      <c r="A40" s="106"/>
      <c r="B40" s="99" t="str">
        <f>'Standard Vorgaben'!$B$151</f>
        <v>Anbaufeldspritze, 12 m Balken, 600 l Fass</v>
      </c>
      <c r="C40" s="1032">
        <v>2</v>
      </c>
      <c r="D40" s="503">
        <f>'Standard Vorgaben'!$C$151</f>
        <v>1</v>
      </c>
      <c r="E40" s="213">
        <f>'Standard Vorgaben'!$D$151</f>
        <v>42</v>
      </c>
      <c r="F40" s="120">
        <f t="shared" ref="F40:F41" si="8">C40*E40</f>
        <v>84</v>
      </c>
      <c r="G40" s="613">
        <f>F40/$F$67</f>
        <v>8.2727422524072908E-3</v>
      </c>
      <c r="H40" s="106"/>
      <c r="I40" s="99" t="str">
        <f>'Standard Vorgaben'!$B$151</f>
        <v>Anbaufeldspritze, 12 m Balken, 600 l Fass</v>
      </c>
      <c r="J40" s="1032">
        <v>2</v>
      </c>
      <c r="K40" s="503">
        <f>'Standard Vorgaben'!$C$151</f>
        <v>1</v>
      </c>
      <c r="L40" s="213">
        <f>'Standard Vorgaben'!$D$151</f>
        <v>42</v>
      </c>
      <c r="M40" s="120">
        <f t="shared" ref="M40:M41" si="9">J40*L40</f>
        <v>84</v>
      </c>
      <c r="N40" s="613">
        <f>M40/$M$67</f>
        <v>6.7499462212373641E-3</v>
      </c>
      <c r="O40" s="106"/>
      <c r="P40" s="99" t="str">
        <f>'Standard Vorgaben'!$B$151</f>
        <v>Anbaufeldspritze, 12 m Balken, 600 l Fass</v>
      </c>
      <c r="Q40" s="1032">
        <v>2</v>
      </c>
      <c r="R40" s="503">
        <f>'Standard Vorgaben'!$C$151</f>
        <v>1</v>
      </c>
      <c r="S40" s="213">
        <f>'Standard Vorgaben'!$D$151</f>
        <v>42</v>
      </c>
      <c r="T40" s="120">
        <f t="shared" ref="T40:T41" si="10">Q40*S40</f>
        <v>84</v>
      </c>
      <c r="U40" s="613">
        <f>T40/$T$67</f>
        <v>4.5786088096571986E-3</v>
      </c>
      <c r="V40" s="106"/>
      <c r="W40" s="99" t="str">
        <f>'Standard Vorgaben'!$B$151</f>
        <v>Anbaufeldspritze, 12 m Balken, 600 l Fass</v>
      </c>
      <c r="X40" s="1032">
        <v>2</v>
      </c>
      <c r="Y40" s="503">
        <f>'Standard Vorgaben'!$C$151</f>
        <v>1</v>
      </c>
      <c r="Z40" s="213">
        <f>'Standard Vorgaben'!$D$151</f>
        <v>42</v>
      </c>
      <c r="AA40" s="120">
        <f t="shared" ref="AA40:AA41" si="11">X40*Z40</f>
        <v>84</v>
      </c>
      <c r="AB40" s="613">
        <f>AA40/$AA$67</f>
        <v>4.1287301322245722E-3</v>
      </c>
      <c r="AC40" s="106"/>
      <c r="AD40" s="99" t="str">
        <f>'Standard Vorgaben'!$B$151</f>
        <v>Anbaufeldspritze, 12 m Balken, 600 l Fass</v>
      </c>
      <c r="AE40" s="505">
        <f>'Standard Ertragsphase'!$C$38</f>
        <v>3</v>
      </c>
      <c r="AF40" s="503">
        <f>'Standard Vorgaben'!$C$151</f>
        <v>1</v>
      </c>
      <c r="AG40" s="213">
        <f>'Standard Vorgaben'!$D$151</f>
        <v>42</v>
      </c>
      <c r="AH40" s="120">
        <f t="shared" ref="AH40:AH41" si="12">AE40*AG40</f>
        <v>126</v>
      </c>
      <c r="AI40" s="613">
        <f>AH40/$AH$67</f>
        <v>4.7399562657333564E-3</v>
      </c>
      <c r="AJ40" s="106"/>
      <c r="AK40" s="99" t="str">
        <f>'Standard Vorgaben'!$B$151</f>
        <v>Anbaufeldspritze, 12 m Balken, 600 l Fass</v>
      </c>
      <c r="AL40" s="505">
        <f>'Standard Ertragsphase'!$C$38</f>
        <v>3</v>
      </c>
      <c r="AM40" s="503">
        <f>'Standard Vorgaben'!$C$151</f>
        <v>1</v>
      </c>
      <c r="AN40" s="213">
        <f>'Standard Vorgaben'!$D$151</f>
        <v>42</v>
      </c>
      <c r="AO40" s="120">
        <f t="shared" ref="AO40:AO41" si="13">AL40*AN40</f>
        <v>126</v>
      </c>
      <c r="AP40" s="613">
        <f>AO40/$AO$67</f>
        <v>4.2912941413311614E-3</v>
      </c>
      <c r="AQ40" s="106"/>
      <c r="AR40" s="99" t="str">
        <f>'Standard Vorgaben'!$B$151</f>
        <v>Anbaufeldspritze, 12 m Balken, 600 l Fass</v>
      </c>
      <c r="AS40" s="505">
        <f>'Standard Ertragsphase'!$C$38</f>
        <v>3</v>
      </c>
      <c r="AT40" s="503">
        <f>'Standard Vorgaben'!$C$151</f>
        <v>1</v>
      </c>
      <c r="AU40" s="213">
        <f>'Standard Vorgaben'!$D$151</f>
        <v>42</v>
      </c>
      <c r="AV40" s="120">
        <f t="shared" ref="AV40:AV41" si="14">AS40*AU40</f>
        <v>126</v>
      </c>
      <c r="AW40" s="613">
        <f>AV40/$AV$67</f>
        <v>4.2909077567651289E-3</v>
      </c>
      <c r="AX40" s="106"/>
      <c r="AY40" s="99" t="str">
        <f>'Standard Vorgaben'!$B$151</f>
        <v>Anbaufeldspritze, 12 m Balken, 600 l Fass</v>
      </c>
      <c r="AZ40" s="505">
        <f>'Standard Ertragsphase'!$C$38</f>
        <v>3</v>
      </c>
      <c r="BA40" s="503">
        <f>'Standard Vorgaben'!$C$151</f>
        <v>1</v>
      </c>
      <c r="BB40" s="213">
        <f>'Standard Vorgaben'!$D$151</f>
        <v>42</v>
      </c>
      <c r="BC40" s="120">
        <f t="shared" ref="BC40:BC41" si="15">AZ40*BB40</f>
        <v>126</v>
      </c>
      <c r="BD40" s="613">
        <f>BC40/$BC$67</f>
        <v>4.2905179652532295E-3</v>
      </c>
      <c r="BE40" s="106"/>
      <c r="BF40" s="99" t="str">
        <f>'Standard Vorgaben'!$B$151</f>
        <v>Anbaufeldspritze, 12 m Balken, 600 l Fass</v>
      </c>
      <c r="BG40" s="505">
        <f>'Standard Ertragsphase'!$C$38</f>
        <v>3</v>
      </c>
      <c r="BH40" s="503">
        <f>'Standard Vorgaben'!$C$151</f>
        <v>1</v>
      </c>
      <c r="BI40" s="213">
        <f>'Standard Vorgaben'!$D$151</f>
        <v>42</v>
      </c>
      <c r="BJ40" s="120">
        <f t="shared" ref="BJ40:BJ41" si="16">BG40*BI40</f>
        <v>126</v>
      </c>
      <c r="BK40" s="613">
        <f>BJ40/$BJ$67</f>
        <v>4.2901247373883719E-3</v>
      </c>
      <c r="BL40" s="106"/>
      <c r="BM40" s="99" t="str">
        <f>'Standard Vorgaben'!$B$151</f>
        <v>Anbaufeldspritze, 12 m Balken, 600 l Fass</v>
      </c>
      <c r="BN40" s="505">
        <f>'Standard Ertragsphase'!$C$38</f>
        <v>3</v>
      </c>
      <c r="BO40" s="503">
        <f>'Standard Vorgaben'!$C$151</f>
        <v>1</v>
      </c>
      <c r="BP40" s="213">
        <f>'Standard Vorgaben'!$D$151</f>
        <v>42</v>
      </c>
      <c r="BQ40" s="120">
        <f t="shared" ref="BQ40:BQ41" si="17">BN40*BP40</f>
        <v>126</v>
      </c>
      <c r="BR40" s="613">
        <f>BQ40/$BQ$67</f>
        <v>4.2897280435209763E-3</v>
      </c>
      <c r="BS40" s="106"/>
      <c r="BT40" s="99" t="str">
        <f>'Standard Vorgaben'!$B$151</f>
        <v>Anbaufeldspritze, 12 m Balken, 600 l Fass</v>
      </c>
      <c r="BU40" s="505">
        <f>'Standard Ertragsphase'!$C$38</f>
        <v>3</v>
      </c>
      <c r="BV40" s="503">
        <f>'Standard Vorgaben'!$C$151</f>
        <v>1</v>
      </c>
      <c r="BW40" s="213">
        <f>'Standard Vorgaben'!$D$151</f>
        <v>42</v>
      </c>
      <c r="BX40" s="120">
        <f t="shared" ref="BX40:BX41" si="18">BU40*BW40</f>
        <v>126</v>
      </c>
      <c r="BY40" s="613">
        <f>BX40/$BX$67</f>
        <v>4.289327853757176E-3</v>
      </c>
      <c r="BZ40" s="106"/>
      <c r="CA40" s="99" t="str">
        <f>'Standard Vorgaben'!$B$151</f>
        <v>Anbaufeldspritze, 12 m Balken, 600 l Fass</v>
      </c>
      <c r="CB40" s="505">
        <f>'Standard Ertragsphase'!$C$38</f>
        <v>3</v>
      </c>
      <c r="CC40" s="503">
        <f>'Standard Vorgaben'!$C$151</f>
        <v>1</v>
      </c>
      <c r="CD40" s="213">
        <f>'Standard Vorgaben'!$D$151</f>
        <v>42</v>
      </c>
      <c r="CE40" s="120">
        <f t="shared" ref="CE40:CE41" si="19">CB40*CD40</f>
        <v>126</v>
      </c>
      <c r="CF40" s="613">
        <f>CE40/$CE$67</f>
        <v>4.2889241379570143E-3</v>
      </c>
      <c r="CG40" s="106"/>
      <c r="CH40" s="99" t="str">
        <f>'Standard Vorgaben'!$B$151</f>
        <v>Anbaufeldspritze, 12 m Balken, 600 l Fass</v>
      </c>
      <c r="CI40" s="505">
        <f>'Standard Ertragsphase'!$C$38</f>
        <v>3</v>
      </c>
      <c r="CJ40" s="503">
        <f>'Standard Vorgaben'!$C$151</f>
        <v>1</v>
      </c>
      <c r="CK40" s="213">
        <f>'Standard Vorgaben'!$D$151</f>
        <v>42</v>
      </c>
      <c r="CL40" s="120">
        <f t="shared" ref="CL40:CL41" si="20">CI40*CK40</f>
        <v>126</v>
      </c>
      <c r="CM40" s="613">
        <f>CL40/$CL$67</f>
        <v>4.2885168657326288E-3</v>
      </c>
      <c r="CN40" s="106"/>
      <c r="CO40" s="99" t="str">
        <f>'Standard Vorgaben'!$B$151</f>
        <v>Anbaufeldspritze, 12 m Balken, 600 l Fass</v>
      </c>
      <c r="CP40" s="505">
        <f>'Standard Ertragsphase'!$C$38</f>
        <v>3</v>
      </c>
      <c r="CQ40" s="503">
        <f>'Standard Vorgaben'!$C$151</f>
        <v>1</v>
      </c>
      <c r="CR40" s="213">
        <f>'Standard Vorgaben'!$D$151</f>
        <v>42</v>
      </c>
      <c r="CS40" s="120">
        <f t="shared" ref="CS40:CS41" si="21">CP40*CR40</f>
        <v>126</v>
      </c>
      <c r="CT40" s="613">
        <f>CS40/$CS$67</f>
        <v>4.2881060064464283E-3</v>
      </c>
      <c r="CU40" s="106"/>
      <c r="CV40" s="99" t="str">
        <f>'Standard Vorgaben'!$B$151</f>
        <v>Anbaufeldspritze, 12 m Balken, 600 l Fass</v>
      </c>
      <c r="CW40" s="505">
        <f>'Standard Ertragsphase'!$C$38</f>
        <v>3</v>
      </c>
      <c r="CX40" s="503">
        <f>'Standard Vorgaben'!$C$151</f>
        <v>1</v>
      </c>
      <c r="CY40" s="213">
        <f>'Standard Vorgaben'!$D$151</f>
        <v>42</v>
      </c>
      <c r="CZ40" s="120">
        <f t="shared" ref="CZ40:CZ41" si="22">CW40*CY40</f>
        <v>126</v>
      </c>
      <c r="DA40" s="613">
        <f>CZ40/$CZ$67</f>
        <v>4.2876915292092569E-3</v>
      </c>
      <c r="DB40" s="106"/>
      <c r="DC40" s="99" t="str">
        <f>'Standard Vorgaben'!$B$151</f>
        <v>Anbaufeldspritze, 12 m Balken, 600 l Fass</v>
      </c>
      <c r="DD40" s="505">
        <f>'Standard Ertragsphase'!$C$38</f>
        <v>3</v>
      </c>
      <c r="DE40" s="503">
        <f>'Standard Vorgaben'!$C$151</f>
        <v>1</v>
      </c>
      <c r="DF40" s="213">
        <f>'Standard Vorgaben'!$D$151</f>
        <v>42</v>
      </c>
      <c r="DG40" s="120">
        <f t="shared" ref="DG40:DG41" si="23">DD40*DF40</f>
        <v>126</v>
      </c>
      <c r="DH40" s="613">
        <f>DG40/$DG$67</f>
        <v>4.2872734028785546E-3</v>
      </c>
      <c r="DI40" s="106"/>
      <c r="DJ40" s="99" t="str">
        <f>'Standard Vorgaben'!$B$151</f>
        <v>Anbaufeldspritze, 12 m Balken, 600 l Fass</v>
      </c>
      <c r="DK40" s="505">
        <f>'Standard Ertragsphase'!$C$38</f>
        <v>3</v>
      </c>
      <c r="DL40" s="503">
        <f>'Standard Vorgaben'!$C$151</f>
        <v>1</v>
      </c>
      <c r="DM40" s="213">
        <f>'Standard Vorgaben'!$D$151</f>
        <v>42</v>
      </c>
      <c r="DN40" s="120">
        <f t="shared" ref="DN40:DN41" si="24">DK40*DM40</f>
        <v>126</v>
      </c>
      <c r="DO40" s="613">
        <f>DN40/$DN$67</f>
        <v>4.2868515960565023E-3</v>
      </c>
      <c r="DP40" s="106"/>
      <c r="DQ40" s="99" t="str">
        <f>'Standard Vorgaben'!$B$151</f>
        <v>Anbaufeldspritze, 12 m Balken, 600 l Fass</v>
      </c>
      <c r="DR40" s="505">
        <f>'Standard Ertragsphase'!$C$38</f>
        <v>3</v>
      </c>
      <c r="DS40" s="503">
        <f>'Standard Vorgaben'!$C$151</f>
        <v>1</v>
      </c>
      <c r="DT40" s="213">
        <f>'Standard Vorgaben'!$D$151</f>
        <v>42</v>
      </c>
      <c r="DU40" s="120">
        <f t="shared" ref="DU40:DU41" si="25">DR40*DT40</f>
        <v>126</v>
      </c>
      <c r="DV40" s="613">
        <f>DU40/$DU$67</f>
        <v>4.2864260770881608E-3</v>
      </c>
      <c r="DW40" s="106"/>
      <c r="DX40" s="99" t="str">
        <f>'Standard Vorgaben'!$B$151</f>
        <v>Anbaufeldspritze, 12 m Balken, 600 l Fass</v>
      </c>
      <c r="DY40" s="505">
        <f>'Standard Ertragsphase'!$C$38</f>
        <v>3</v>
      </c>
      <c r="DZ40" s="503">
        <f>'Standard Vorgaben'!$C$151</f>
        <v>1</v>
      </c>
      <c r="EA40" s="213">
        <f>'Standard Vorgaben'!$D$151</f>
        <v>42</v>
      </c>
      <c r="EB40" s="120">
        <f t="shared" ref="EB40:EB41" si="26">DY40*EA40</f>
        <v>126</v>
      </c>
      <c r="EC40" s="613">
        <f>EB40/$EB$67</f>
        <v>4.2859968140595986E-3</v>
      </c>
      <c r="ED40" s="106"/>
      <c r="EE40" s="99" t="str">
        <f>'Standard Vorgaben'!$B$151</f>
        <v>Anbaufeldspritze, 12 m Balken, 600 l Fass</v>
      </c>
      <c r="EF40" s="505">
        <f>'Standard Ertragsphase'!$C$38</f>
        <v>3</v>
      </c>
      <c r="EG40" s="503">
        <f>'Standard Vorgaben'!$C$151</f>
        <v>1</v>
      </c>
      <c r="EH40" s="213">
        <f>'Standard Vorgaben'!$D$151</f>
        <v>42</v>
      </c>
      <c r="EI40" s="120">
        <f t="shared" ref="EI40:EI41" si="27">EF40*EH40</f>
        <v>126</v>
      </c>
      <c r="EJ40" s="613">
        <f>EI40/$EI$67</f>
        <v>3.5592182192284274E-3</v>
      </c>
    </row>
    <row r="41" spans="1:256" s="99" customFormat="1" x14ac:dyDescent="0.2">
      <c r="A41" s="106"/>
      <c r="B41" s="99" t="str">
        <f>'Standard Vorgaben'!$B$152</f>
        <v>Düngerstreuer Einkasten 2.5 m</v>
      </c>
      <c r="C41" s="501">
        <f>C19</f>
        <v>0</v>
      </c>
      <c r="D41" s="503">
        <f>'Standard Vorgaben'!$C$152</f>
        <v>1</v>
      </c>
      <c r="E41" s="213">
        <f>'Standard Vorgaben'!$D$152</f>
        <v>18</v>
      </c>
      <c r="F41" s="120">
        <f t="shared" si="8"/>
        <v>0</v>
      </c>
      <c r="G41" s="613">
        <f>F41/$F$67</f>
        <v>0</v>
      </c>
      <c r="H41" s="106"/>
      <c r="I41" s="99" t="str">
        <f>'Standard Vorgaben'!$B$152</f>
        <v>Düngerstreuer Einkasten 2.5 m</v>
      </c>
      <c r="J41" s="501">
        <f>J19</f>
        <v>1</v>
      </c>
      <c r="K41" s="503">
        <f>'Standard Vorgaben'!$C$152</f>
        <v>1</v>
      </c>
      <c r="L41" s="213">
        <f>'Standard Vorgaben'!$D$152</f>
        <v>18</v>
      </c>
      <c r="M41" s="120">
        <f t="shared" si="9"/>
        <v>18</v>
      </c>
      <c r="N41" s="613">
        <f>M41/$M$67</f>
        <v>1.4464170474080065E-3</v>
      </c>
      <c r="O41" s="106"/>
      <c r="P41" s="99" t="str">
        <f>'Standard Vorgaben'!$B$152</f>
        <v>Düngerstreuer Einkasten 2.5 m</v>
      </c>
      <c r="Q41" s="501">
        <f>Q19</f>
        <v>2</v>
      </c>
      <c r="R41" s="503">
        <f>'Standard Vorgaben'!$C$152</f>
        <v>1</v>
      </c>
      <c r="S41" s="213">
        <f>'Standard Vorgaben'!$D$152</f>
        <v>18</v>
      </c>
      <c r="T41" s="120">
        <f t="shared" si="10"/>
        <v>36</v>
      </c>
      <c r="U41" s="613">
        <f>T41/$T$67</f>
        <v>1.9622609184245135E-3</v>
      </c>
      <c r="V41" s="106"/>
      <c r="W41" s="99" t="str">
        <f>'Standard Vorgaben'!$B$152</f>
        <v>Düngerstreuer Einkasten 2.5 m</v>
      </c>
      <c r="X41" s="501">
        <f>X19</f>
        <v>3</v>
      </c>
      <c r="Y41" s="503">
        <f>'Standard Vorgaben'!$C$152</f>
        <v>1</v>
      </c>
      <c r="Z41" s="213">
        <f>'Standard Vorgaben'!$D$152</f>
        <v>18</v>
      </c>
      <c r="AA41" s="120">
        <f t="shared" si="11"/>
        <v>54</v>
      </c>
      <c r="AB41" s="613">
        <f>AA41/$AA$67</f>
        <v>2.6541836564300818E-3</v>
      </c>
      <c r="AC41" s="106"/>
      <c r="AD41" s="99" t="str">
        <f>'Standard Vorgaben'!$B$152</f>
        <v>Düngerstreuer Einkasten 2.5 m</v>
      </c>
      <c r="AE41" s="501">
        <f>AE19</f>
        <v>3</v>
      </c>
      <c r="AF41" s="503">
        <f>'Standard Vorgaben'!$C$152</f>
        <v>1</v>
      </c>
      <c r="AG41" s="213">
        <f>'Standard Vorgaben'!$D$152</f>
        <v>18</v>
      </c>
      <c r="AH41" s="120">
        <f t="shared" si="12"/>
        <v>54</v>
      </c>
      <c r="AI41" s="613">
        <f>AH41/$AH$67</f>
        <v>2.0314098281714386E-3</v>
      </c>
      <c r="AJ41" s="106"/>
      <c r="AK41" s="99" t="str">
        <f>'Standard Vorgaben'!$B$152</f>
        <v>Düngerstreuer Einkasten 2.5 m</v>
      </c>
      <c r="AL41" s="501">
        <f>AL19</f>
        <v>4</v>
      </c>
      <c r="AM41" s="503">
        <f>'Standard Vorgaben'!$C$152</f>
        <v>1</v>
      </c>
      <c r="AN41" s="213">
        <f>'Standard Vorgaben'!$D$152</f>
        <v>18</v>
      </c>
      <c r="AO41" s="120">
        <f t="shared" si="13"/>
        <v>72</v>
      </c>
      <c r="AP41" s="613">
        <f>AO41/$AO$67</f>
        <v>2.4521680807606636E-3</v>
      </c>
      <c r="AQ41" s="106"/>
      <c r="AR41" s="99" t="str">
        <f>'Standard Vorgaben'!$B$152</f>
        <v>Düngerstreuer Einkasten 2.5 m</v>
      </c>
      <c r="AS41" s="501">
        <f>AS19</f>
        <v>4</v>
      </c>
      <c r="AT41" s="503">
        <f>'Standard Vorgaben'!$C$152</f>
        <v>1</v>
      </c>
      <c r="AU41" s="213">
        <f>'Standard Vorgaben'!$D$152</f>
        <v>18</v>
      </c>
      <c r="AV41" s="120">
        <f t="shared" si="14"/>
        <v>72</v>
      </c>
      <c r="AW41" s="613">
        <f>AV41/$AV$67</f>
        <v>2.4519472895800738E-3</v>
      </c>
      <c r="AX41" s="106"/>
      <c r="AY41" s="99" t="str">
        <f>'Standard Vorgaben'!$B$152</f>
        <v>Düngerstreuer Einkasten 2.5 m</v>
      </c>
      <c r="AZ41" s="501">
        <f>AZ19</f>
        <v>4</v>
      </c>
      <c r="BA41" s="503">
        <f>'Standard Vorgaben'!$C$152</f>
        <v>1</v>
      </c>
      <c r="BB41" s="213">
        <f>'Standard Vorgaben'!$D$152</f>
        <v>18</v>
      </c>
      <c r="BC41" s="120">
        <f t="shared" si="15"/>
        <v>72</v>
      </c>
      <c r="BD41" s="613">
        <f>BC41/$BC$67</f>
        <v>2.4517245515732742E-3</v>
      </c>
      <c r="BE41" s="106"/>
      <c r="BF41" s="99" t="str">
        <f>'Standard Vorgaben'!$B$152</f>
        <v>Düngerstreuer Einkasten 2.5 m</v>
      </c>
      <c r="BG41" s="501">
        <f>BG19</f>
        <v>4</v>
      </c>
      <c r="BH41" s="503">
        <f>'Standard Vorgaben'!$C$152</f>
        <v>1</v>
      </c>
      <c r="BI41" s="213">
        <f>'Standard Vorgaben'!$D$152</f>
        <v>18</v>
      </c>
      <c r="BJ41" s="120">
        <f t="shared" si="16"/>
        <v>72</v>
      </c>
      <c r="BK41" s="613">
        <f>BJ41/$BJ$67</f>
        <v>2.4514998499362123E-3</v>
      </c>
      <c r="BL41" s="106"/>
      <c r="BM41" s="99" t="str">
        <f>'Standard Vorgaben'!$B$152</f>
        <v>Düngerstreuer Einkasten 2.5 m</v>
      </c>
      <c r="BN41" s="501">
        <f>BN19</f>
        <v>4</v>
      </c>
      <c r="BO41" s="503">
        <f>'Standard Vorgaben'!$C$152</f>
        <v>1</v>
      </c>
      <c r="BP41" s="213">
        <f>'Standard Vorgaben'!$D$152</f>
        <v>18</v>
      </c>
      <c r="BQ41" s="120">
        <f t="shared" si="17"/>
        <v>72</v>
      </c>
      <c r="BR41" s="613">
        <f>BQ41/$BQ$67</f>
        <v>2.451273167726272E-3</v>
      </c>
      <c r="BS41" s="106"/>
      <c r="BT41" s="99" t="str">
        <f>'Standard Vorgaben'!$B$152</f>
        <v>Düngerstreuer Einkasten 2.5 m</v>
      </c>
      <c r="BU41" s="501">
        <f>BU19</f>
        <v>4</v>
      </c>
      <c r="BV41" s="503">
        <f>'Standard Vorgaben'!$C$152</f>
        <v>1</v>
      </c>
      <c r="BW41" s="213">
        <f>'Standard Vorgaben'!$D$152</f>
        <v>18</v>
      </c>
      <c r="BX41" s="120">
        <f t="shared" si="18"/>
        <v>72</v>
      </c>
      <c r="BY41" s="613">
        <f>BX41/$BX$67</f>
        <v>2.4510444878612435E-3</v>
      </c>
      <c r="BZ41" s="106"/>
      <c r="CA41" s="99" t="str">
        <f>'Standard Vorgaben'!$B$152</f>
        <v>Düngerstreuer Einkasten 2.5 m</v>
      </c>
      <c r="CB41" s="501">
        <f>CB19</f>
        <v>4</v>
      </c>
      <c r="CC41" s="503">
        <f>'Standard Vorgaben'!$C$152</f>
        <v>1</v>
      </c>
      <c r="CD41" s="213">
        <f>'Standard Vorgaben'!$D$152</f>
        <v>18</v>
      </c>
      <c r="CE41" s="120">
        <f t="shared" si="19"/>
        <v>72</v>
      </c>
      <c r="CF41" s="613">
        <f>CE41/$CE$67</f>
        <v>2.4508137931182937E-3</v>
      </c>
      <c r="CG41" s="106"/>
      <c r="CH41" s="99" t="str">
        <f>'Standard Vorgaben'!$B$152</f>
        <v>Düngerstreuer Einkasten 2.5 m</v>
      </c>
      <c r="CI41" s="501">
        <f>CI19</f>
        <v>4</v>
      </c>
      <c r="CJ41" s="503">
        <f>'Standard Vorgaben'!$C$152</f>
        <v>1</v>
      </c>
      <c r="CK41" s="213">
        <f>'Standard Vorgaben'!$D$152</f>
        <v>18</v>
      </c>
      <c r="CL41" s="120">
        <f t="shared" si="20"/>
        <v>72</v>
      </c>
      <c r="CM41" s="613">
        <f>CL41/$CL$67</f>
        <v>2.4505810661329306E-3</v>
      </c>
      <c r="CN41" s="106"/>
      <c r="CO41" s="99" t="str">
        <f>'Standard Vorgaben'!$B$152</f>
        <v>Düngerstreuer Einkasten 2.5 m</v>
      </c>
      <c r="CP41" s="501">
        <f>CP19</f>
        <v>4</v>
      </c>
      <c r="CQ41" s="503">
        <f>'Standard Vorgaben'!$C$152</f>
        <v>1</v>
      </c>
      <c r="CR41" s="213">
        <f>'Standard Vorgaben'!$D$152</f>
        <v>18</v>
      </c>
      <c r="CS41" s="120">
        <f t="shared" si="21"/>
        <v>72</v>
      </c>
      <c r="CT41" s="613">
        <f>CS41/$CS$67</f>
        <v>2.4503462893979591E-3</v>
      </c>
      <c r="CU41" s="106"/>
      <c r="CV41" s="99" t="str">
        <f>'Standard Vorgaben'!$B$152</f>
        <v>Düngerstreuer Einkasten 2.5 m</v>
      </c>
      <c r="CW41" s="501">
        <f>CW19</f>
        <v>4</v>
      </c>
      <c r="CX41" s="503">
        <f>'Standard Vorgaben'!$C$152</f>
        <v>1</v>
      </c>
      <c r="CY41" s="213">
        <f>'Standard Vorgaben'!$D$152</f>
        <v>18</v>
      </c>
      <c r="CZ41" s="120">
        <f t="shared" si="22"/>
        <v>72</v>
      </c>
      <c r="DA41" s="613">
        <f>CZ41/$CZ$67</f>
        <v>2.4501094452624326E-3</v>
      </c>
      <c r="DB41" s="106"/>
      <c r="DC41" s="99" t="str">
        <f>'Standard Vorgaben'!$B$152</f>
        <v>Düngerstreuer Einkasten 2.5 m</v>
      </c>
      <c r="DD41" s="501">
        <f>DD19</f>
        <v>4</v>
      </c>
      <c r="DE41" s="503">
        <f>'Standard Vorgaben'!$C$152</f>
        <v>1</v>
      </c>
      <c r="DF41" s="213">
        <f>'Standard Vorgaben'!$D$152</f>
        <v>18</v>
      </c>
      <c r="DG41" s="120">
        <f t="shared" si="23"/>
        <v>72</v>
      </c>
      <c r="DH41" s="613">
        <f>DG41/$DG$67</f>
        <v>2.4498705159306028E-3</v>
      </c>
      <c r="DI41" s="106"/>
      <c r="DJ41" s="99" t="str">
        <f>'Standard Vorgaben'!$B$152</f>
        <v>Düngerstreuer Einkasten 2.5 m</v>
      </c>
      <c r="DK41" s="501">
        <f>DK19</f>
        <v>4</v>
      </c>
      <c r="DL41" s="503">
        <f>'Standard Vorgaben'!$C$152</f>
        <v>1</v>
      </c>
      <c r="DM41" s="213">
        <f>'Standard Vorgaben'!$D$152</f>
        <v>18</v>
      </c>
      <c r="DN41" s="120">
        <f t="shared" si="24"/>
        <v>72</v>
      </c>
      <c r="DO41" s="613">
        <f>DN41/$DN$67</f>
        <v>2.4496294834608586E-3</v>
      </c>
      <c r="DP41" s="106"/>
      <c r="DQ41" s="99" t="str">
        <f>'Standard Vorgaben'!$B$152</f>
        <v>Düngerstreuer Einkasten 2.5 m</v>
      </c>
      <c r="DR41" s="501">
        <f>DR19</f>
        <v>4</v>
      </c>
      <c r="DS41" s="503">
        <f>'Standard Vorgaben'!$C$152</f>
        <v>1</v>
      </c>
      <c r="DT41" s="213">
        <f>'Standard Vorgaben'!$D$152</f>
        <v>18</v>
      </c>
      <c r="DU41" s="120">
        <f t="shared" si="25"/>
        <v>72</v>
      </c>
      <c r="DV41" s="613">
        <f>DU41/$DU$67</f>
        <v>2.4493863297646631E-3</v>
      </c>
      <c r="DW41" s="106"/>
      <c r="DX41" s="99" t="str">
        <f>'Standard Vorgaben'!$B$152</f>
        <v>Düngerstreuer Einkasten 2.5 m</v>
      </c>
      <c r="DY41" s="501">
        <f>DY19</f>
        <v>4</v>
      </c>
      <c r="DZ41" s="503">
        <f>'Standard Vorgaben'!$C$152</f>
        <v>1</v>
      </c>
      <c r="EA41" s="213">
        <f>'Standard Vorgaben'!$D$152</f>
        <v>18</v>
      </c>
      <c r="EB41" s="120">
        <f t="shared" si="26"/>
        <v>72</v>
      </c>
      <c r="EC41" s="613">
        <f>EB41/$EB$67</f>
        <v>2.4491410366054849E-3</v>
      </c>
      <c r="ED41" s="106"/>
      <c r="EE41" s="99" t="str">
        <f>'Standard Vorgaben'!$B$152</f>
        <v>Düngerstreuer Einkasten 2.5 m</v>
      </c>
      <c r="EF41" s="501">
        <f>EF19</f>
        <v>4</v>
      </c>
      <c r="EG41" s="503">
        <f>'Standard Vorgaben'!$C$152</f>
        <v>1</v>
      </c>
      <c r="EH41" s="213">
        <f>'Standard Vorgaben'!$D$152</f>
        <v>18</v>
      </c>
      <c r="EI41" s="120">
        <f t="shared" si="27"/>
        <v>72</v>
      </c>
      <c r="EJ41" s="613">
        <f>EI41/$EI$67</f>
        <v>2.0338389824162443E-3</v>
      </c>
    </row>
    <row r="42" spans="1:256" s="99" customFormat="1" x14ac:dyDescent="0.2">
      <c r="B42" s="4" t="str">
        <f>'Standard Vorgaben'!$B$153</f>
        <v>Erntewagen 4 Grosskisten</v>
      </c>
      <c r="C42" s="620">
        <f>'Standard Vorgaben'!$C$153</f>
        <v>960</v>
      </c>
      <c r="D42" s="1"/>
      <c r="E42" s="621">
        <f>'Standard Vorgaben'!$D$153</f>
        <v>9.1999999999999993</v>
      </c>
      <c r="F42" s="43">
        <f>D43*E42</f>
        <v>0</v>
      </c>
      <c r="G42" s="271">
        <f>F42/F67</f>
        <v>0</v>
      </c>
      <c r="I42" s="4" t="str">
        <f>'Standard Vorgaben'!$B$153</f>
        <v>Erntewagen 4 Grosskisten</v>
      </c>
      <c r="J42" s="620">
        <f>'Standard Vorgaben'!$C$153</f>
        <v>960</v>
      </c>
      <c r="K42" s="1"/>
      <c r="L42" s="621">
        <f>'Standard Vorgaben'!$D$153</f>
        <v>9.1999999999999993</v>
      </c>
      <c r="M42" s="43">
        <f>K43*L42</f>
        <v>24.437499999999996</v>
      </c>
      <c r="N42" s="271">
        <f>M42/M67</f>
        <v>1.9637120331129532E-3</v>
      </c>
      <c r="P42" s="4" t="str">
        <f>'Standard Vorgaben'!$B$153</f>
        <v>Erntewagen 4 Grosskisten</v>
      </c>
      <c r="Q42" s="620">
        <f>'Standard Vorgaben'!$C$153</f>
        <v>960</v>
      </c>
      <c r="R42" s="1"/>
      <c r="S42" s="621">
        <f>'Standard Vorgaben'!$D$153</f>
        <v>9.1999999999999993</v>
      </c>
      <c r="T42" s="43">
        <f>R43*S42</f>
        <v>40.729166666666664</v>
      </c>
      <c r="U42" s="271">
        <f>T42/T67</f>
        <v>2.220034777499956E-3</v>
      </c>
      <c r="W42" s="4" t="str">
        <f>'Standard Vorgaben'!$B$153</f>
        <v>Erntewagen 4 Grosskisten</v>
      </c>
      <c r="X42" s="620">
        <f>'Standard Vorgaben'!$C$153</f>
        <v>960</v>
      </c>
      <c r="Y42" s="1"/>
      <c r="Z42" s="621">
        <f>'Standard Vorgaben'!$D$153</f>
        <v>9.1999999999999993</v>
      </c>
      <c r="AA42" s="43">
        <f>Y43*Z42</f>
        <v>81.458333333333329</v>
      </c>
      <c r="AB42" s="271">
        <f>AA42/AA67</f>
        <v>4.0038032780253165E-3</v>
      </c>
      <c r="AD42" s="4" t="str">
        <f>'Standard Vorgaben'!$B$153</f>
        <v>Erntewagen 4 Grosskisten</v>
      </c>
      <c r="AE42" s="620">
        <f>'Standard Vorgaben'!$C$153</f>
        <v>960</v>
      </c>
      <c r="AF42" s="1"/>
      <c r="AG42" s="621">
        <f>'Standard Vorgaben'!$D$153</f>
        <v>9.1999999999999993</v>
      </c>
      <c r="AH42" s="43">
        <f>AF43*AG42</f>
        <v>162.91666666666666</v>
      </c>
      <c r="AI42" s="271">
        <f>AH42/AH67</f>
        <v>6.1287132933258671E-3</v>
      </c>
      <c r="AK42" s="4" t="str">
        <f>'Standard Vorgaben'!$B$153</f>
        <v>Erntewagen 4 Grosskisten</v>
      </c>
      <c r="AL42" s="620">
        <f>'Standard Vorgaben'!$C$153</f>
        <v>960</v>
      </c>
      <c r="AM42" s="1"/>
      <c r="AN42" s="621">
        <f>'Standard Vorgaben'!$D$153</f>
        <v>9.1999999999999993</v>
      </c>
      <c r="AO42" s="43">
        <f>AM43*AN42</f>
        <v>260.66666666666663</v>
      </c>
      <c r="AP42" s="271">
        <f>AO42/AO67</f>
        <v>8.8777566627538836E-3</v>
      </c>
      <c r="AR42" s="4" t="str">
        <f>'Standard Vorgaben'!$B$153</f>
        <v>Erntewagen 4 Grosskisten</v>
      </c>
      <c r="AS42" s="620">
        <f>'Standard Vorgaben'!$C$153</f>
        <v>960</v>
      </c>
      <c r="AT42" s="1"/>
      <c r="AU42" s="621">
        <f>'Standard Vorgaben'!$D$153</f>
        <v>9.1999999999999993</v>
      </c>
      <c r="AV42" s="43">
        <f>AT43*AU42</f>
        <v>260.66666666666663</v>
      </c>
      <c r="AW42" s="271">
        <f>AV42/AV67</f>
        <v>8.8769573169056367E-3</v>
      </c>
      <c r="AY42" s="4" t="str">
        <f>'Standard Vorgaben'!$B$153</f>
        <v>Erntewagen 4 Grosskisten</v>
      </c>
      <c r="AZ42" s="620">
        <f>'Standard Vorgaben'!$C$153</f>
        <v>960</v>
      </c>
      <c r="BA42" s="1"/>
      <c r="BB42" s="621">
        <f>'Standard Vorgaben'!$D$153</f>
        <v>9.1999999999999993</v>
      </c>
      <c r="BC42" s="43">
        <f>BA43*BB42</f>
        <v>260.66666666666663</v>
      </c>
      <c r="BD42" s="271">
        <f>BC42/BC67</f>
        <v>8.8761509228254629E-3</v>
      </c>
      <c r="BF42" s="4" t="str">
        <f>'Standard Vorgaben'!$B$153</f>
        <v>Erntewagen 4 Grosskisten</v>
      </c>
      <c r="BG42" s="620">
        <f>'Standard Vorgaben'!$C$153</f>
        <v>960</v>
      </c>
      <c r="BH42" s="1"/>
      <c r="BI42" s="621">
        <f>'Standard Vorgaben'!$D$153</f>
        <v>9.1999999999999993</v>
      </c>
      <c r="BJ42" s="43">
        <f>BH43*BI42</f>
        <v>260.66666666666663</v>
      </c>
      <c r="BK42" s="271">
        <f>BJ42/BJ67</f>
        <v>8.8753374196764712E-3</v>
      </c>
      <c r="BM42" s="4" t="str">
        <f>'Standard Vorgaben'!$B$153</f>
        <v>Erntewagen 4 Grosskisten</v>
      </c>
      <c r="BN42" s="620">
        <f>'Standard Vorgaben'!$C$153</f>
        <v>960</v>
      </c>
      <c r="BO42" s="1"/>
      <c r="BP42" s="621">
        <f>'Standard Vorgaben'!$D$153</f>
        <v>9.1999999999999993</v>
      </c>
      <c r="BQ42" s="43">
        <f>BO43*BP42</f>
        <v>260.66666666666663</v>
      </c>
      <c r="BR42" s="271">
        <f>BQ42/BQ67</f>
        <v>8.8745167461201143E-3</v>
      </c>
      <c r="BT42" s="4" t="str">
        <f>'Standard Vorgaben'!$B$153</f>
        <v>Erntewagen 4 Grosskisten</v>
      </c>
      <c r="BU42" s="620">
        <f>'Standard Vorgaben'!$C$153</f>
        <v>960</v>
      </c>
      <c r="BV42" s="1"/>
      <c r="BW42" s="621">
        <f>'Standard Vorgaben'!$D$153</f>
        <v>9.1999999999999993</v>
      </c>
      <c r="BX42" s="43">
        <f>BV43*BW42</f>
        <v>260.66666666666663</v>
      </c>
      <c r="BY42" s="271">
        <f>BX42/BX67</f>
        <v>8.8736888403124631E-3</v>
      </c>
      <c r="CA42" s="4" t="str">
        <f>'Standard Vorgaben'!$B$153</f>
        <v>Erntewagen 4 Grosskisten</v>
      </c>
      <c r="CB42" s="620">
        <f>'Standard Vorgaben'!$C$153</f>
        <v>960</v>
      </c>
      <c r="CC42" s="1"/>
      <c r="CD42" s="621">
        <f>'Standard Vorgaben'!$D$153</f>
        <v>9.1999999999999993</v>
      </c>
      <c r="CE42" s="43">
        <f>CC43*CD42</f>
        <v>260.66666666666663</v>
      </c>
      <c r="CF42" s="271">
        <f>CE42/CE67</f>
        <v>8.8728536399004885E-3</v>
      </c>
      <c r="CH42" s="4" t="str">
        <f>'Standard Vorgaben'!$B$153</f>
        <v>Erntewagen 4 Grosskisten</v>
      </c>
      <c r="CI42" s="620">
        <f>'Standard Vorgaben'!$C$153</f>
        <v>960</v>
      </c>
      <c r="CJ42" s="1"/>
      <c r="CK42" s="621">
        <f>'Standard Vorgaben'!$D$153</f>
        <v>9.1999999999999993</v>
      </c>
      <c r="CL42" s="43">
        <f>CJ43*CK42</f>
        <v>260.66666666666663</v>
      </c>
      <c r="CM42" s="271">
        <f>CL42/CL67</f>
        <v>8.872011082018294E-3</v>
      </c>
      <c r="CO42" s="4" t="str">
        <f>'Standard Vorgaben'!$B$153</f>
        <v>Erntewagen 4 Grosskisten</v>
      </c>
      <c r="CP42" s="620">
        <f>'Standard Vorgaben'!$C$153</f>
        <v>960</v>
      </c>
      <c r="CQ42" s="1"/>
      <c r="CR42" s="621">
        <f>'Standard Vorgaben'!$D$153</f>
        <v>9.1999999999999993</v>
      </c>
      <c r="CS42" s="43">
        <f>CQ43*CR42</f>
        <v>260.66666666666663</v>
      </c>
      <c r="CT42" s="271">
        <f>CS42/CS67</f>
        <v>8.8711611032833496E-3</v>
      </c>
      <c r="CV42" s="4" t="str">
        <f>'Standard Vorgaben'!$B$153</f>
        <v>Erntewagen 4 Grosskisten</v>
      </c>
      <c r="CW42" s="620">
        <f>'Standard Vorgaben'!$C$153</f>
        <v>960</v>
      </c>
      <c r="CX42" s="1"/>
      <c r="CY42" s="621">
        <f>'Standard Vorgaben'!$D$153</f>
        <v>9.1999999999999993</v>
      </c>
      <c r="CZ42" s="43">
        <f>CX43*CY42</f>
        <v>260.66666666666663</v>
      </c>
      <c r="DA42" s="271">
        <f>CZ42/CZ67</f>
        <v>8.8703036397926958E-3</v>
      </c>
      <c r="DC42" s="4" t="str">
        <f>'Standard Vorgaben'!$B$153</f>
        <v>Erntewagen 4 Grosskisten</v>
      </c>
      <c r="DD42" s="620">
        <f>'Standard Vorgaben'!$C$153</f>
        <v>960</v>
      </c>
      <c r="DE42" s="1"/>
      <c r="DF42" s="621">
        <f>'Standard Vorgaben'!$D$153</f>
        <v>9.1999999999999993</v>
      </c>
      <c r="DG42" s="43">
        <f>DE43*DF42</f>
        <v>260.66666666666663</v>
      </c>
      <c r="DH42" s="271">
        <f>DG42/$DG$67</f>
        <v>8.869438627119126E-3</v>
      </c>
      <c r="DJ42" s="4" t="str">
        <f>'Standard Vorgaben'!$B$153</f>
        <v>Erntewagen 4 Grosskisten</v>
      </c>
      <c r="DK42" s="620">
        <f>'Standard Vorgaben'!$C$153</f>
        <v>960</v>
      </c>
      <c r="DL42" s="1"/>
      <c r="DM42" s="621">
        <f>'Standard Vorgaben'!$D$153</f>
        <v>9.1999999999999993</v>
      </c>
      <c r="DN42" s="43">
        <f>DL43*DM42</f>
        <v>260.66666666666663</v>
      </c>
      <c r="DO42" s="271">
        <f>DN42/$DN$67</f>
        <v>8.8685660003073666E-3</v>
      </c>
      <c r="DQ42" s="4" t="str">
        <f>'Standard Vorgaben'!$B$153</f>
        <v>Erntewagen 4 Grosskisten</v>
      </c>
      <c r="DR42" s="620">
        <f>'Standard Vorgaben'!$C$153</f>
        <v>960</v>
      </c>
      <c r="DS42" s="1"/>
      <c r="DT42" s="621">
        <f>'Standard Vorgaben'!$D$153</f>
        <v>9.1999999999999993</v>
      </c>
      <c r="DU42" s="43">
        <f>DS43*DT42</f>
        <v>260.66666666666663</v>
      </c>
      <c r="DV42" s="271">
        <f>DU42/$DU$67</f>
        <v>8.8676856938702149E-3</v>
      </c>
      <c r="DX42" s="4" t="str">
        <f>'Standard Vorgaben'!$B$153</f>
        <v>Erntewagen 4 Grosskisten</v>
      </c>
      <c r="DY42" s="620">
        <f>'Standard Vorgaben'!$C$153</f>
        <v>960</v>
      </c>
      <c r="DZ42" s="1"/>
      <c r="EA42" s="621">
        <f>'Standard Vorgaben'!$D$153</f>
        <v>9.1999999999999993</v>
      </c>
      <c r="EB42" s="43">
        <f>DZ43*EA42</f>
        <v>260.66666666666663</v>
      </c>
      <c r="EC42" s="271">
        <f>EB42/$EB$67</f>
        <v>8.8667976417846697E-3</v>
      </c>
      <c r="EE42" s="4" t="str">
        <f>'Standard Vorgaben'!$B$153</f>
        <v>Erntewagen 4 Grosskisten</v>
      </c>
      <c r="EF42" s="620">
        <f>'Standard Vorgaben'!$C$153</f>
        <v>960</v>
      </c>
      <c r="EG42" s="1"/>
      <c r="EH42" s="621">
        <f>'Standard Vorgaben'!$D$153</f>
        <v>9.1999999999999993</v>
      </c>
      <c r="EI42" s="43">
        <f>EG43*EH42</f>
        <v>260.66666666666663</v>
      </c>
      <c r="EJ42" s="271">
        <f>EI42/$EI$67</f>
        <v>7.3632503900439945E-3</v>
      </c>
    </row>
    <row r="43" spans="1:256" s="99" customFormat="1" x14ac:dyDescent="0.2">
      <c r="B43" s="324" t="s">
        <v>250</v>
      </c>
      <c r="C43" s="622">
        <f>'Standard Vorgaben'!$E$153</f>
        <v>4</v>
      </c>
      <c r="D43" s="623">
        <f>((D9+D10)+('Standard Vorgaben'!$D$96*D12))/C42</f>
        <v>0</v>
      </c>
      <c r="E43" s="624">
        <f>C42/C60/C43</f>
        <v>1.92</v>
      </c>
      <c r="F43" s="43"/>
      <c r="G43" s="271"/>
      <c r="I43" s="324" t="s">
        <v>250</v>
      </c>
      <c r="J43" s="622">
        <f>'Standard Vorgaben'!$E$153</f>
        <v>4</v>
      </c>
      <c r="K43" s="623">
        <f>((K9+K10)+('Standard Vorgaben'!$D$96*K12))/J42</f>
        <v>2.65625</v>
      </c>
      <c r="L43" s="624">
        <f>J42/J60/J43</f>
        <v>1.92</v>
      </c>
      <c r="M43" s="43"/>
      <c r="N43" s="271"/>
      <c r="P43" s="324" t="s">
        <v>250</v>
      </c>
      <c r="Q43" s="622">
        <f>'Standard Vorgaben'!$E$153</f>
        <v>4</v>
      </c>
      <c r="R43" s="623">
        <f>((R9+R10)+('Standard Vorgaben'!$D$96*R12))/Q42</f>
        <v>4.427083333333333</v>
      </c>
      <c r="S43" s="624">
        <f>Q42/Q60/Q43</f>
        <v>1.92</v>
      </c>
      <c r="T43" s="43"/>
      <c r="U43" s="271"/>
      <c r="W43" s="324" t="s">
        <v>250</v>
      </c>
      <c r="X43" s="622">
        <f>'Standard Vorgaben'!$E$153</f>
        <v>4</v>
      </c>
      <c r="Y43" s="623">
        <f>((Y9+Y10)+('Standard Vorgaben'!$D$96*Y12))/X42</f>
        <v>8.8541666666666661</v>
      </c>
      <c r="Z43" s="624">
        <f>X42/X60/X43</f>
        <v>1.92</v>
      </c>
      <c r="AA43" s="43"/>
      <c r="AB43" s="271"/>
      <c r="AD43" s="324" t="s">
        <v>250</v>
      </c>
      <c r="AE43" s="622">
        <f>'Standard Vorgaben'!$E$153</f>
        <v>4</v>
      </c>
      <c r="AF43" s="623">
        <f>((AF9+AF10)+('Standard Vorgaben'!$D$96*AF12))/AE42</f>
        <v>17.708333333333332</v>
      </c>
      <c r="AG43" s="624">
        <f>AE42/AE60/AE43</f>
        <v>1.92</v>
      </c>
      <c r="AH43" s="43"/>
      <c r="AI43" s="271"/>
      <c r="AK43" s="324" t="s">
        <v>250</v>
      </c>
      <c r="AL43" s="622">
        <f>'Standard Vorgaben'!$E$153</f>
        <v>4</v>
      </c>
      <c r="AM43" s="623">
        <f>((AM9+AM10)+('Standard Vorgaben'!$D$96*AM12))/AL42</f>
        <v>28.333333333333332</v>
      </c>
      <c r="AN43" s="624">
        <f>AL42/AL60/AL43</f>
        <v>1.92</v>
      </c>
      <c r="AO43" s="43"/>
      <c r="AP43" s="271"/>
      <c r="AR43" s="324" t="s">
        <v>250</v>
      </c>
      <c r="AS43" s="622">
        <f>'Standard Vorgaben'!$E$153</f>
        <v>4</v>
      </c>
      <c r="AT43" s="623">
        <f>((AT9+AT10)+('Standard Vorgaben'!$D$96*AT12))/AS42</f>
        <v>28.333333333333332</v>
      </c>
      <c r="AU43" s="624">
        <f>AS42/AS60/AS43</f>
        <v>1.92</v>
      </c>
      <c r="AV43" s="43"/>
      <c r="AW43" s="271"/>
      <c r="AY43" s="324" t="s">
        <v>250</v>
      </c>
      <c r="AZ43" s="622">
        <f>'Standard Vorgaben'!$E$153</f>
        <v>4</v>
      </c>
      <c r="BA43" s="623">
        <f>((BA9+BA10)+('Standard Vorgaben'!$D$96*BA12))/AZ42</f>
        <v>28.333333333333332</v>
      </c>
      <c r="BB43" s="624">
        <f>AZ42/AZ60/AZ43</f>
        <v>1.92</v>
      </c>
      <c r="BC43" s="43"/>
      <c r="BD43" s="271"/>
      <c r="BF43" s="324" t="s">
        <v>250</v>
      </c>
      <c r="BG43" s="622">
        <f>'Standard Vorgaben'!$E$153</f>
        <v>4</v>
      </c>
      <c r="BH43" s="623">
        <f>((BH9+BH10)+('Standard Vorgaben'!$D$96*BH12))/BG42</f>
        <v>28.333333333333332</v>
      </c>
      <c r="BI43" s="624">
        <f>BG42/BG60/BG43</f>
        <v>1.92</v>
      </c>
      <c r="BJ43" s="43"/>
      <c r="BK43" s="271"/>
      <c r="BM43" s="324" t="s">
        <v>250</v>
      </c>
      <c r="BN43" s="622">
        <f>'Standard Vorgaben'!$E$153</f>
        <v>4</v>
      </c>
      <c r="BO43" s="623">
        <f>((BO9+BO10)+('Standard Vorgaben'!$D$96*BO12))/BN42</f>
        <v>28.333333333333332</v>
      </c>
      <c r="BP43" s="624">
        <f>BN42/BN60/BN43</f>
        <v>1.92</v>
      </c>
      <c r="BQ43" s="43"/>
      <c r="BR43" s="271"/>
      <c r="BT43" s="324" t="s">
        <v>250</v>
      </c>
      <c r="BU43" s="622">
        <f>'Standard Vorgaben'!$E$153</f>
        <v>4</v>
      </c>
      <c r="BV43" s="623">
        <f>((BV9+BV10)+('Standard Vorgaben'!$D$96*BV12))/BU42</f>
        <v>28.333333333333332</v>
      </c>
      <c r="BW43" s="624">
        <f>BU42/BU60/BU43</f>
        <v>1.92</v>
      </c>
      <c r="BX43" s="43"/>
      <c r="BY43" s="271"/>
      <c r="CA43" s="324" t="s">
        <v>250</v>
      </c>
      <c r="CB43" s="622">
        <f>'Standard Vorgaben'!$E$153</f>
        <v>4</v>
      </c>
      <c r="CC43" s="623">
        <f>((CC9+CC10)+('Standard Vorgaben'!$D$96*CC12))/CB42</f>
        <v>28.333333333333332</v>
      </c>
      <c r="CD43" s="624">
        <f>CB42/CB60/CB43</f>
        <v>1.92</v>
      </c>
      <c r="CE43" s="43"/>
      <c r="CF43" s="271"/>
      <c r="CH43" s="324" t="s">
        <v>250</v>
      </c>
      <c r="CI43" s="622">
        <f>'Standard Vorgaben'!$E$153</f>
        <v>4</v>
      </c>
      <c r="CJ43" s="623">
        <f>((CJ9+CJ10)+('Standard Vorgaben'!$D$96*CJ12))/CI42</f>
        <v>28.333333333333332</v>
      </c>
      <c r="CK43" s="624">
        <f>CI42/CI60/CI43</f>
        <v>1.92</v>
      </c>
      <c r="CL43" s="43"/>
      <c r="CM43" s="271"/>
      <c r="CO43" s="324" t="s">
        <v>250</v>
      </c>
      <c r="CP43" s="622">
        <f>'Standard Vorgaben'!$E$153</f>
        <v>4</v>
      </c>
      <c r="CQ43" s="623">
        <f>((CQ9+CQ10)+('Standard Vorgaben'!$D$96*CQ12))/CP42</f>
        <v>28.333333333333332</v>
      </c>
      <c r="CR43" s="624">
        <f>CP42/CP60/CP43</f>
        <v>1.92</v>
      </c>
      <c r="CS43" s="43"/>
      <c r="CT43" s="271"/>
      <c r="CV43" s="324" t="s">
        <v>250</v>
      </c>
      <c r="CW43" s="622">
        <f>'Standard Vorgaben'!$E$153</f>
        <v>4</v>
      </c>
      <c r="CX43" s="623">
        <f>((CX9+CX10)+('Standard Vorgaben'!$D$96*CX12))/CW42</f>
        <v>28.333333333333332</v>
      </c>
      <c r="CY43" s="624">
        <f>CW42/CW60/CW43</f>
        <v>1.92</v>
      </c>
      <c r="CZ43" s="43"/>
      <c r="DA43" s="271"/>
      <c r="DC43" s="324" t="s">
        <v>250</v>
      </c>
      <c r="DD43" s="622">
        <f>'Standard Vorgaben'!$E$153</f>
        <v>4</v>
      </c>
      <c r="DE43" s="623">
        <f>((DE9+DE10)+('Standard Vorgaben'!$D$96*DE12))/DD42</f>
        <v>28.333333333333332</v>
      </c>
      <c r="DF43" s="624">
        <f>DD42/DD60/DD43</f>
        <v>1.92</v>
      </c>
      <c r="DG43" s="43"/>
      <c r="DH43" s="271"/>
      <c r="DJ43" s="324" t="s">
        <v>250</v>
      </c>
      <c r="DK43" s="622">
        <f>'Standard Vorgaben'!$E$153</f>
        <v>4</v>
      </c>
      <c r="DL43" s="623">
        <f>((DL9+DL10)+('Standard Vorgaben'!$D$96*DL12))/DK42</f>
        <v>28.333333333333332</v>
      </c>
      <c r="DM43" s="624">
        <f>DK42/DK60/DK43</f>
        <v>1.92</v>
      </c>
      <c r="DN43" s="43"/>
      <c r="DO43" s="271"/>
      <c r="DQ43" s="324" t="s">
        <v>250</v>
      </c>
      <c r="DR43" s="622">
        <f>'Standard Vorgaben'!$E$153</f>
        <v>4</v>
      </c>
      <c r="DS43" s="623">
        <f>((DS9+DS10)+('Standard Vorgaben'!$D$96*DS12))/DR42</f>
        <v>28.333333333333332</v>
      </c>
      <c r="DT43" s="624">
        <f>DR42/DR60/DR43</f>
        <v>1.92</v>
      </c>
      <c r="DU43" s="43"/>
      <c r="DV43" s="271"/>
      <c r="DX43" s="324" t="s">
        <v>250</v>
      </c>
      <c r="DY43" s="622">
        <f>'Standard Vorgaben'!$E$153</f>
        <v>4</v>
      </c>
      <c r="DZ43" s="623">
        <f>((DZ9+DZ10)+('Standard Vorgaben'!$D$96*DZ12))/DY42</f>
        <v>28.333333333333332</v>
      </c>
      <c r="EA43" s="624">
        <f>DY42/DY60/DY43</f>
        <v>1.92</v>
      </c>
      <c r="EB43" s="43"/>
      <c r="EC43" s="271"/>
      <c r="EE43" s="324" t="s">
        <v>250</v>
      </c>
      <c r="EF43" s="622">
        <f>'Standard Vorgaben'!$E$153</f>
        <v>4</v>
      </c>
      <c r="EG43" s="623">
        <f>((EG9+EG10)+('Standard Vorgaben'!$D$96*EG12))/EF42</f>
        <v>28.333333333333332</v>
      </c>
      <c r="EH43" s="624">
        <f>EF42/EF60/EF43</f>
        <v>1.92</v>
      </c>
      <c r="EI43" s="43"/>
      <c r="EJ43" s="271"/>
    </row>
    <row r="44" spans="1:256" s="1" customFormat="1" x14ac:dyDescent="0.2">
      <c r="A44" s="3"/>
      <c r="B44" s="4" t="str">
        <f>'Standard Vorgaben'!$B$154</f>
        <v>Mulchgerät mit beids. Schwenkarm</v>
      </c>
      <c r="C44" s="46">
        <f>'Standard Vorgaben'!$E$154</f>
        <v>7</v>
      </c>
      <c r="D44" s="51">
        <f>'Standard Vorgaben'!$C$154</f>
        <v>1</v>
      </c>
      <c r="E44" s="62">
        <f>'Standard Vorgaben'!$D$154</f>
        <v>42</v>
      </c>
      <c r="F44" s="43">
        <f>C44*D44*E44</f>
        <v>294</v>
      </c>
      <c r="G44" s="271">
        <f t="shared" ref="G44:G50" si="28">F44/$F$67</f>
        <v>2.8954597883425515E-2</v>
      </c>
      <c r="H44" s="3"/>
      <c r="I44" s="4" t="str">
        <f>'Standard Vorgaben'!$B$154</f>
        <v>Mulchgerät mit beids. Schwenkarm</v>
      </c>
      <c r="J44" s="46">
        <f>'Standard Vorgaben'!$E$154</f>
        <v>7</v>
      </c>
      <c r="K44" s="51">
        <f>'Standard Vorgaben'!$C$154</f>
        <v>1</v>
      </c>
      <c r="L44" s="62">
        <f>'Standard Vorgaben'!$D$154</f>
        <v>42</v>
      </c>
      <c r="M44" s="43">
        <f>J44*K44*L44</f>
        <v>294</v>
      </c>
      <c r="N44" s="271">
        <f t="shared" ref="N44:N50" si="29">M44/$M$67</f>
        <v>2.3624811774330776E-2</v>
      </c>
      <c r="O44" s="3"/>
      <c r="P44" s="4" t="str">
        <f>'Standard Vorgaben'!$B$154</f>
        <v>Mulchgerät mit beids. Schwenkarm</v>
      </c>
      <c r="Q44" s="46">
        <f>'Standard Vorgaben'!$E$154</f>
        <v>7</v>
      </c>
      <c r="R44" s="51">
        <f>'Standard Vorgaben'!$C$154</f>
        <v>1</v>
      </c>
      <c r="S44" s="62">
        <f>'Standard Vorgaben'!$D$154</f>
        <v>42</v>
      </c>
      <c r="T44" s="43">
        <f>Q44*R44*S44</f>
        <v>294</v>
      </c>
      <c r="U44" s="271">
        <f t="shared" ref="U44:U50" si="30">T44/$T$67</f>
        <v>1.6025130833800194E-2</v>
      </c>
      <c r="V44" s="3"/>
      <c r="W44" s="4" t="str">
        <f>'Standard Vorgaben'!$B$154</f>
        <v>Mulchgerät mit beids. Schwenkarm</v>
      </c>
      <c r="X44" s="46">
        <f>'Standard Vorgaben'!$E$154</f>
        <v>7</v>
      </c>
      <c r="Y44" s="51">
        <f>'Standard Vorgaben'!$C$154</f>
        <v>1</v>
      </c>
      <c r="Z44" s="62">
        <f>'Standard Vorgaben'!$D$154</f>
        <v>42</v>
      </c>
      <c r="AA44" s="43">
        <f>X44*Y44*Z44</f>
        <v>294</v>
      </c>
      <c r="AB44" s="271">
        <f t="shared" ref="AB44:AB50" si="31">AA44/$AA$67</f>
        <v>1.4450555462786003E-2</v>
      </c>
      <c r="AC44" s="3"/>
      <c r="AD44" s="4" t="str">
        <f>'Standard Vorgaben'!$B$154</f>
        <v>Mulchgerät mit beids. Schwenkarm</v>
      </c>
      <c r="AE44" s="46">
        <f>'Standard Vorgaben'!$E$154</f>
        <v>7</v>
      </c>
      <c r="AF44" s="51">
        <f>'Standard Vorgaben'!$C$154</f>
        <v>1</v>
      </c>
      <c r="AG44" s="62">
        <f>'Standard Vorgaben'!$D$154</f>
        <v>42</v>
      </c>
      <c r="AH44" s="43">
        <f>AE44*AF44*AG44</f>
        <v>294</v>
      </c>
      <c r="AI44" s="271">
        <f t="shared" ref="AI44:AI50" si="32">AH44/$AH$67</f>
        <v>1.1059897953377832E-2</v>
      </c>
      <c r="AJ44" s="3"/>
      <c r="AK44" s="4" t="str">
        <f>'Standard Vorgaben'!$B$154</f>
        <v>Mulchgerät mit beids. Schwenkarm</v>
      </c>
      <c r="AL44" s="46">
        <f>'Standard Vorgaben'!$E$154</f>
        <v>7</v>
      </c>
      <c r="AM44" s="51">
        <f>'Standard Vorgaben'!$C$154</f>
        <v>1</v>
      </c>
      <c r="AN44" s="62">
        <f>'Standard Vorgaben'!$D$154</f>
        <v>42</v>
      </c>
      <c r="AO44" s="43">
        <f>AL44*AM44*AN44</f>
        <v>294</v>
      </c>
      <c r="AP44" s="271">
        <f t="shared" ref="AP44:AP50" si="33">AO44/$AO$67</f>
        <v>1.0013019663106044E-2</v>
      </c>
      <c r="AQ44" s="3"/>
      <c r="AR44" s="4" t="str">
        <f>'Standard Vorgaben'!$B$154</f>
        <v>Mulchgerät mit beids. Schwenkarm</v>
      </c>
      <c r="AS44" s="46">
        <f>'Standard Vorgaben'!$E$154</f>
        <v>7</v>
      </c>
      <c r="AT44" s="51">
        <f>'Standard Vorgaben'!$C$154</f>
        <v>1</v>
      </c>
      <c r="AU44" s="62">
        <f>'Standard Vorgaben'!$D$154</f>
        <v>42</v>
      </c>
      <c r="AV44" s="43">
        <f>AS44*AT44*AU44</f>
        <v>294</v>
      </c>
      <c r="AW44" s="271">
        <f t="shared" ref="AW44:AW50" si="34">AV44/$AV$67</f>
        <v>1.0012118099118636E-2</v>
      </c>
      <c r="AX44" s="3"/>
      <c r="AY44" s="4" t="str">
        <f>'Standard Vorgaben'!$B$154</f>
        <v>Mulchgerät mit beids. Schwenkarm</v>
      </c>
      <c r="AZ44" s="46">
        <f>'Standard Vorgaben'!$E$154</f>
        <v>7</v>
      </c>
      <c r="BA44" s="51">
        <f>'Standard Vorgaben'!$C$154</f>
        <v>1</v>
      </c>
      <c r="BB44" s="62">
        <f>'Standard Vorgaben'!$D$154</f>
        <v>42</v>
      </c>
      <c r="BC44" s="43">
        <f>AZ44*BA44*BB44</f>
        <v>294</v>
      </c>
      <c r="BD44" s="271">
        <f t="shared" ref="BD44:BD50" si="35">BC44/$BC$67</f>
        <v>1.001120858559087E-2</v>
      </c>
      <c r="BE44" s="3"/>
      <c r="BF44" s="4" t="str">
        <f>'Standard Vorgaben'!$B$154</f>
        <v>Mulchgerät mit beids. Schwenkarm</v>
      </c>
      <c r="BG44" s="46">
        <f>'Standard Vorgaben'!$E$154</f>
        <v>7</v>
      </c>
      <c r="BH44" s="51">
        <f>'Standard Vorgaben'!$C$154</f>
        <v>1</v>
      </c>
      <c r="BI44" s="62">
        <f>'Standard Vorgaben'!$D$154</f>
        <v>42</v>
      </c>
      <c r="BJ44" s="43">
        <f>BG44*BH44*BI44</f>
        <v>294</v>
      </c>
      <c r="BK44" s="271">
        <f t="shared" ref="BK44:BK50" si="36">BJ44/$BJ$67</f>
        <v>1.0010291053906202E-2</v>
      </c>
      <c r="BL44" s="3"/>
      <c r="BM44" s="4" t="str">
        <f>'Standard Vorgaben'!$B$154</f>
        <v>Mulchgerät mit beids. Schwenkarm</v>
      </c>
      <c r="BN44" s="46">
        <f>'Standard Vorgaben'!$E$154</f>
        <v>7</v>
      </c>
      <c r="BO44" s="51">
        <f>'Standard Vorgaben'!$C$154</f>
        <v>1</v>
      </c>
      <c r="BP44" s="62">
        <f>'Standard Vorgaben'!$D$154</f>
        <v>42</v>
      </c>
      <c r="BQ44" s="43">
        <f>BN44*BO44*BP44</f>
        <v>294</v>
      </c>
      <c r="BR44" s="271">
        <f t="shared" ref="BR44:BR50" si="37">BQ44/$BQ$67</f>
        <v>1.0009365434882279E-2</v>
      </c>
      <c r="BS44" s="3"/>
      <c r="BT44" s="4" t="str">
        <f>'Standard Vorgaben'!$B$154</f>
        <v>Mulchgerät mit beids. Schwenkarm</v>
      </c>
      <c r="BU44" s="46">
        <f>'Standard Vorgaben'!$E$154</f>
        <v>7</v>
      </c>
      <c r="BV44" s="51">
        <f>'Standard Vorgaben'!$C$154</f>
        <v>1</v>
      </c>
      <c r="BW44" s="62">
        <f>'Standard Vorgaben'!$D$154</f>
        <v>42</v>
      </c>
      <c r="BX44" s="43">
        <f>BU44*BV44*BW44</f>
        <v>294</v>
      </c>
      <c r="BY44" s="271">
        <f t="shared" ref="BY44:BY50" si="38">BX44/$BX$67</f>
        <v>1.0008431658766744E-2</v>
      </c>
      <c r="BZ44" s="3"/>
      <c r="CA44" s="4" t="str">
        <f>'Standard Vorgaben'!$B$154</f>
        <v>Mulchgerät mit beids. Schwenkarm</v>
      </c>
      <c r="CB44" s="46">
        <f>'Standard Vorgaben'!$E$154</f>
        <v>7</v>
      </c>
      <c r="CC44" s="51">
        <f>'Standard Vorgaben'!$C$154</f>
        <v>1</v>
      </c>
      <c r="CD44" s="62">
        <f>'Standard Vorgaben'!$D$154</f>
        <v>42</v>
      </c>
      <c r="CE44" s="43">
        <f>CB44*CC44*CD44</f>
        <v>294</v>
      </c>
      <c r="CF44" s="271">
        <f t="shared" ref="CF44:CF50" si="39">CE44/$CE$67</f>
        <v>1.0007489655233032E-2</v>
      </c>
      <c r="CG44" s="3"/>
      <c r="CH44" s="4" t="str">
        <f>'Standard Vorgaben'!$B$154</f>
        <v>Mulchgerät mit beids. Schwenkarm</v>
      </c>
      <c r="CI44" s="46">
        <f>'Standard Vorgaben'!$E$154</f>
        <v>7</v>
      </c>
      <c r="CJ44" s="51">
        <f>'Standard Vorgaben'!$C$154</f>
        <v>1</v>
      </c>
      <c r="CK44" s="62">
        <f>'Standard Vorgaben'!$D$154</f>
        <v>42</v>
      </c>
      <c r="CL44" s="43">
        <f>CI44*CJ44*CK44</f>
        <v>294</v>
      </c>
      <c r="CM44" s="271">
        <f t="shared" ref="CM44:CM50" si="40">CL44/$CL$67</f>
        <v>1.0006539353376134E-2</v>
      </c>
      <c r="CN44" s="3"/>
      <c r="CO44" s="4" t="str">
        <f>'Standard Vorgaben'!$B$154</f>
        <v>Mulchgerät mit beids. Schwenkarm</v>
      </c>
      <c r="CP44" s="46">
        <f>'Standard Vorgaben'!$E$154</f>
        <v>7</v>
      </c>
      <c r="CQ44" s="51">
        <f>'Standard Vorgaben'!$C$154</f>
        <v>1</v>
      </c>
      <c r="CR44" s="62">
        <f>'Standard Vorgaben'!$D$154</f>
        <v>42</v>
      </c>
      <c r="CS44" s="43">
        <f>CP44*CQ44*CR44</f>
        <v>294</v>
      </c>
      <c r="CT44" s="271">
        <f t="shared" ref="CT44:CT50" si="41">CS44/$CS$67</f>
        <v>1.0005580681708332E-2</v>
      </c>
      <c r="CU44" s="3"/>
      <c r="CV44" s="4" t="str">
        <f>'Standard Vorgaben'!$B$154</f>
        <v>Mulchgerät mit beids. Schwenkarm</v>
      </c>
      <c r="CW44" s="46">
        <f>'Standard Vorgaben'!$E$154</f>
        <v>7</v>
      </c>
      <c r="CX44" s="51">
        <f>'Standard Vorgaben'!$C$154</f>
        <v>1</v>
      </c>
      <c r="CY44" s="62">
        <f>'Standard Vorgaben'!$D$154</f>
        <v>42</v>
      </c>
      <c r="CZ44" s="43">
        <f>CW44*CX44*CY44</f>
        <v>294</v>
      </c>
      <c r="DA44" s="271">
        <f t="shared" ref="DA44:DA50" si="42">CZ44/$CZ$67</f>
        <v>1.0004613568154934E-2</v>
      </c>
      <c r="DB44" s="3"/>
      <c r="DC44" s="4" t="str">
        <f>'Standard Vorgaben'!$B$154</f>
        <v>Mulchgerät mit beids. Schwenkarm</v>
      </c>
      <c r="DD44" s="46">
        <f>'Standard Vorgaben'!$E$154</f>
        <v>7</v>
      </c>
      <c r="DE44" s="51">
        <f>'Standard Vorgaben'!$C$154</f>
        <v>1</v>
      </c>
      <c r="DF44" s="62">
        <f>'Standard Vorgaben'!$D$154</f>
        <v>42</v>
      </c>
      <c r="DG44" s="43">
        <f>DD44*DE44*DF44</f>
        <v>294</v>
      </c>
      <c r="DH44" s="271">
        <f t="shared" ref="DH44:DH50" si="43">DG44/$DG$67</f>
        <v>1.0003637940049962E-2</v>
      </c>
      <c r="DI44" s="3"/>
      <c r="DJ44" s="4" t="str">
        <f>'Standard Vorgaben'!$B$154</f>
        <v>Mulchgerät mit beids. Schwenkarm</v>
      </c>
      <c r="DK44" s="46">
        <f>'Standard Vorgaben'!$E$154</f>
        <v>7</v>
      </c>
      <c r="DL44" s="51">
        <f>'Standard Vorgaben'!$C$154</f>
        <v>1</v>
      </c>
      <c r="DM44" s="62">
        <f>'Standard Vorgaben'!$D$154</f>
        <v>42</v>
      </c>
      <c r="DN44" s="43">
        <f>DK44*DL44*DM44</f>
        <v>294</v>
      </c>
      <c r="DO44" s="271">
        <f t="shared" ref="DO44:DO50" si="44">DN44/$DN$67</f>
        <v>1.000265372413184E-2</v>
      </c>
      <c r="DP44" s="3"/>
      <c r="DQ44" s="4" t="str">
        <f>'Standard Vorgaben'!$B$154</f>
        <v>Mulchgerät mit beids. Schwenkarm</v>
      </c>
      <c r="DR44" s="46">
        <f>'Standard Vorgaben'!$E$154</f>
        <v>7</v>
      </c>
      <c r="DS44" s="51">
        <f>'Standard Vorgaben'!$C$154</f>
        <v>1</v>
      </c>
      <c r="DT44" s="62">
        <f>'Standard Vorgaben'!$D$154</f>
        <v>42</v>
      </c>
      <c r="DU44" s="43">
        <f>DR44*DS44*DT44</f>
        <v>294</v>
      </c>
      <c r="DV44" s="271">
        <f t="shared" ref="DV44:DV50" si="45">DU44/$DU$67</f>
        <v>1.0001660846539041E-2</v>
      </c>
      <c r="DW44" s="3"/>
      <c r="DX44" s="4" t="str">
        <f>'Standard Vorgaben'!$B$154</f>
        <v>Mulchgerät mit beids. Schwenkarm</v>
      </c>
      <c r="DY44" s="46">
        <f>'Standard Vorgaben'!$E$154</f>
        <v>7</v>
      </c>
      <c r="DZ44" s="51">
        <f>'Standard Vorgaben'!$C$154</f>
        <v>1</v>
      </c>
      <c r="EA44" s="62">
        <f>'Standard Vorgaben'!$D$154</f>
        <v>42</v>
      </c>
      <c r="EB44" s="43">
        <f>DY44*DZ44*EA44</f>
        <v>294</v>
      </c>
      <c r="EC44" s="271">
        <f t="shared" ref="EC44:EC50" si="46">EB44/$EB$67</f>
        <v>1.000065923280573E-2</v>
      </c>
      <c r="ED44" s="3"/>
      <c r="EE44" s="4" t="str">
        <f>'Standard Vorgaben'!$B$154</f>
        <v>Mulchgerät mit beids. Schwenkarm</v>
      </c>
      <c r="EF44" s="46">
        <f>'Standard Vorgaben'!$E$154</f>
        <v>7</v>
      </c>
      <c r="EG44" s="51">
        <f>'Standard Vorgaben'!$C$154</f>
        <v>1</v>
      </c>
      <c r="EH44" s="62">
        <f>'Standard Vorgaben'!$D$154</f>
        <v>42</v>
      </c>
      <c r="EI44" s="43">
        <f>EF44*EG44*EH44</f>
        <v>294</v>
      </c>
      <c r="EJ44" s="271">
        <f t="shared" ref="EJ44:EJ50" si="47">EI44/$EI$67</f>
        <v>8.304842511532998E-3</v>
      </c>
    </row>
    <row r="45" spans="1:256" x14ac:dyDescent="0.2">
      <c r="B45" s="19" t="str">
        <f>'Standard Vorgaben'!$B$155</f>
        <v>Schnittholzhacker</v>
      </c>
      <c r="C45" s="15">
        <v>0</v>
      </c>
      <c r="D45" s="563">
        <f>'Standard Vorgaben'!$C$155</f>
        <v>2</v>
      </c>
      <c r="E45" s="62">
        <f>'Standard Vorgaben'!$D$155</f>
        <v>68.3</v>
      </c>
      <c r="F45" s="118">
        <f>E45*D45*C45</f>
        <v>0</v>
      </c>
      <c r="G45" s="42">
        <f t="shared" si="28"/>
        <v>0</v>
      </c>
      <c r="H45" s="16"/>
      <c r="I45" s="19" t="str">
        <f>'Standard Vorgaben'!$B$155</f>
        <v>Schnittholzhacker</v>
      </c>
      <c r="J45" s="15">
        <v>0</v>
      </c>
      <c r="K45" s="563">
        <f>'Standard Vorgaben'!$C$155</f>
        <v>2</v>
      </c>
      <c r="L45" s="62">
        <f>'Standard Vorgaben'!$D$155</f>
        <v>68.3</v>
      </c>
      <c r="M45" s="118">
        <f>L45*K45*J45</f>
        <v>0</v>
      </c>
      <c r="N45" s="42">
        <f t="shared" si="29"/>
        <v>0</v>
      </c>
      <c r="O45" s="16"/>
      <c r="P45" s="19" t="str">
        <f>'Standard Vorgaben'!$B$155</f>
        <v>Schnittholzhacker</v>
      </c>
      <c r="Q45" s="15">
        <v>0</v>
      </c>
      <c r="R45" s="563">
        <f>'Standard Vorgaben'!$C$155</f>
        <v>2</v>
      </c>
      <c r="S45" s="62">
        <f>'Standard Vorgaben'!$D$155</f>
        <v>68.3</v>
      </c>
      <c r="T45" s="118">
        <f>S45*R45*Q45</f>
        <v>0</v>
      </c>
      <c r="U45" s="42">
        <f t="shared" si="30"/>
        <v>0</v>
      </c>
      <c r="V45" s="16"/>
      <c r="W45" s="19" t="str">
        <f>'Standard Vorgaben'!$B$155</f>
        <v>Schnittholzhacker</v>
      </c>
      <c r="X45" s="58">
        <f>'Standard Vorgaben'!$E$155</f>
        <v>1</v>
      </c>
      <c r="Y45" s="563">
        <f>'Standard Vorgaben'!$C$155</f>
        <v>2</v>
      </c>
      <c r="Z45" s="62">
        <f>'Standard Vorgaben'!$D$155</f>
        <v>68.3</v>
      </c>
      <c r="AA45" s="118">
        <f>Z45*Y45*X45</f>
        <v>136.6</v>
      </c>
      <c r="AB45" s="271">
        <f t="shared" si="31"/>
        <v>6.714101619784244E-3</v>
      </c>
      <c r="AC45" s="3"/>
      <c r="AD45" s="4" t="str">
        <f>'Standard Vorgaben'!$B$155</f>
        <v>Schnittholzhacker</v>
      </c>
      <c r="AE45" s="58">
        <f>'Standard Vorgaben'!$E$155</f>
        <v>1</v>
      </c>
      <c r="AF45" s="563">
        <f>'Standard Vorgaben'!$C$155</f>
        <v>2</v>
      </c>
      <c r="AG45" s="62">
        <f>'Standard Vorgaben'!$D$155</f>
        <v>68.3</v>
      </c>
      <c r="AH45" s="118">
        <f>AG45*AF45*AE45</f>
        <v>136.6</v>
      </c>
      <c r="AI45" s="271">
        <f t="shared" si="32"/>
        <v>5.1387144912633052E-3</v>
      </c>
      <c r="AJ45" s="3"/>
      <c r="AK45" s="4" t="str">
        <f>'Standard Vorgaben'!$B$155</f>
        <v>Schnittholzhacker</v>
      </c>
      <c r="AL45" s="58">
        <f>'Standard Vorgaben'!$E$155</f>
        <v>1</v>
      </c>
      <c r="AM45" s="563">
        <f>'Standard Vorgaben'!$C$155</f>
        <v>2</v>
      </c>
      <c r="AN45" s="62">
        <f>'Standard Vorgaben'!$D$155</f>
        <v>68.3</v>
      </c>
      <c r="AO45" s="118">
        <f>AN45*AM45*AL45</f>
        <v>136.6</v>
      </c>
      <c r="AP45" s="271">
        <f t="shared" si="33"/>
        <v>4.6523077754431477E-3</v>
      </c>
      <c r="AQ45" s="3"/>
      <c r="AR45" s="4" t="str">
        <f>'Standard Vorgaben'!$B$155</f>
        <v>Schnittholzhacker</v>
      </c>
      <c r="AS45" s="58">
        <f>'Standard Vorgaben'!$E$155</f>
        <v>1</v>
      </c>
      <c r="AT45" s="563">
        <f>'Standard Vorgaben'!$C$155</f>
        <v>2</v>
      </c>
      <c r="AU45" s="62">
        <f>'Standard Vorgaben'!$D$155</f>
        <v>68.3</v>
      </c>
      <c r="AV45" s="118">
        <f>AU45*AT45*AS45</f>
        <v>136.6</v>
      </c>
      <c r="AW45" s="271">
        <f t="shared" si="34"/>
        <v>4.6518888855088623E-3</v>
      </c>
      <c r="AX45" s="3"/>
      <c r="AY45" s="4" t="str">
        <f>'Standard Vorgaben'!$B$155</f>
        <v>Schnittholzhacker</v>
      </c>
      <c r="AZ45" s="58">
        <f>'Standard Vorgaben'!$E$155</f>
        <v>1</v>
      </c>
      <c r="BA45" s="563">
        <f>'Standard Vorgaben'!$C$155</f>
        <v>2</v>
      </c>
      <c r="BB45" s="62">
        <f>'Standard Vorgaben'!$D$155</f>
        <v>68.3</v>
      </c>
      <c r="BC45" s="118">
        <f>BB45*BA45*AZ45</f>
        <v>136.6</v>
      </c>
      <c r="BD45" s="271">
        <f t="shared" si="35"/>
        <v>4.6514663020126284E-3</v>
      </c>
      <c r="BE45" s="3"/>
      <c r="BF45" s="4" t="str">
        <f>'Standard Vorgaben'!$B$155</f>
        <v>Schnittholzhacker</v>
      </c>
      <c r="BG45" s="58">
        <f>'Standard Vorgaben'!$E$155</f>
        <v>1</v>
      </c>
      <c r="BH45" s="563">
        <f>'Standard Vorgaben'!$C$155</f>
        <v>2</v>
      </c>
      <c r="BI45" s="62">
        <f>'Standard Vorgaben'!$D$155</f>
        <v>68.3</v>
      </c>
      <c r="BJ45" s="118">
        <f>BI45*BH45*BG45</f>
        <v>136.6</v>
      </c>
      <c r="BK45" s="271">
        <f t="shared" si="36"/>
        <v>4.6510399930734247E-3</v>
      </c>
      <c r="BL45" s="3"/>
      <c r="BM45" s="4" t="str">
        <f>'Standard Vorgaben'!$B$155</f>
        <v>Schnittholzhacker</v>
      </c>
      <c r="BN45" s="58">
        <f>'Standard Vorgaben'!$E$155</f>
        <v>1</v>
      </c>
      <c r="BO45" s="563">
        <f>'Standard Vorgaben'!$C$155</f>
        <v>2</v>
      </c>
      <c r="BP45" s="62">
        <f>'Standard Vorgaben'!$D$155</f>
        <v>68.3</v>
      </c>
      <c r="BQ45" s="118">
        <f>BP45*BO45*BN45</f>
        <v>136.6</v>
      </c>
      <c r="BR45" s="271">
        <f t="shared" si="37"/>
        <v>4.6506099265473441E-3</v>
      </c>
      <c r="BS45" s="3"/>
      <c r="BT45" s="4" t="str">
        <f>'Standard Vorgaben'!$B$155</f>
        <v>Schnittholzhacker</v>
      </c>
      <c r="BU45" s="58">
        <f>'Standard Vorgaben'!$E$155</f>
        <v>1</v>
      </c>
      <c r="BV45" s="563">
        <f>'Standard Vorgaben'!$C$155</f>
        <v>2</v>
      </c>
      <c r="BW45" s="62">
        <f>'Standard Vorgaben'!$D$155</f>
        <v>68.3</v>
      </c>
      <c r="BX45" s="118">
        <f>BW45*BV45*BU45</f>
        <v>136.6</v>
      </c>
      <c r="BY45" s="271">
        <f t="shared" si="38"/>
        <v>4.6501760700256361E-3</v>
      </c>
      <c r="BZ45" s="3"/>
      <c r="CA45" s="4" t="str">
        <f>'Standard Vorgaben'!$B$155</f>
        <v>Schnittholzhacker</v>
      </c>
      <c r="CB45" s="58">
        <f>'Standard Vorgaben'!$E$155</f>
        <v>1</v>
      </c>
      <c r="CC45" s="563">
        <f>'Standard Vorgaben'!$C$155</f>
        <v>2</v>
      </c>
      <c r="CD45" s="62">
        <f>'Standard Vorgaben'!$D$155</f>
        <v>68.3</v>
      </c>
      <c r="CE45" s="118">
        <f>CD45*CC45*CB45</f>
        <v>136.6</v>
      </c>
      <c r="CF45" s="271">
        <f t="shared" si="39"/>
        <v>4.6497383908327625E-3</v>
      </c>
      <c r="CG45" s="3"/>
      <c r="CH45" s="4" t="str">
        <f>'Standard Vorgaben'!$B$155</f>
        <v>Schnittholzhacker</v>
      </c>
      <c r="CI45" s="58">
        <f>'Standard Vorgaben'!$E$155</f>
        <v>1</v>
      </c>
      <c r="CJ45" s="563">
        <f>'Standard Vorgaben'!$C$155</f>
        <v>2</v>
      </c>
      <c r="CK45" s="62">
        <f>'Standard Vorgaben'!$D$155</f>
        <v>68.3</v>
      </c>
      <c r="CL45" s="118">
        <f>CK45*CJ45*CI45</f>
        <v>136.6</v>
      </c>
      <c r="CM45" s="271">
        <f t="shared" si="40"/>
        <v>4.6492968560244213E-3</v>
      </c>
      <c r="CN45" s="3"/>
      <c r="CO45" s="4" t="str">
        <f>'Standard Vorgaben'!$B$155</f>
        <v>Schnittholzhacker</v>
      </c>
      <c r="CP45" s="58">
        <f>'Standard Vorgaben'!$E$155</f>
        <v>1</v>
      </c>
      <c r="CQ45" s="563">
        <f>'Standard Vorgaben'!$C$155</f>
        <v>2</v>
      </c>
      <c r="CR45" s="62">
        <f>'Standard Vorgaben'!$D$155</f>
        <v>68.3</v>
      </c>
      <c r="CS45" s="118">
        <f>CR45*CQ45*CP45</f>
        <v>136.6</v>
      </c>
      <c r="CT45" s="271">
        <f t="shared" si="41"/>
        <v>4.6488514323855716E-3</v>
      </c>
      <c r="CU45" s="3"/>
      <c r="CV45" s="4" t="str">
        <f>'Standard Vorgaben'!$B$155</f>
        <v>Schnittholzhacker</v>
      </c>
      <c r="CW45" s="58">
        <f>'Standard Vorgaben'!$E$155</f>
        <v>1</v>
      </c>
      <c r="CX45" s="563">
        <f>'Standard Vorgaben'!$C$155</f>
        <v>2</v>
      </c>
      <c r="CY45" s="62">
        <f>'Standard Vorgaben'!$D$155</f>
        <v>68.3</v>
      </c>
      <c r="CZ45" s="118">
        <f>CY45*CX45*CW45</f>
        <v>136.6</v>
      </c>
      <c r="DA45" s="271">
        <f t="shared" si="42"/>
        <v>4.6484020864284489E-3</v>
      </c>
      <c r="DB45" s="3"/>
      <c r="DC45" s="4" t="str">
        <f>'Standard Vorgaben'!$B$155</f>
        <v>Schnittholzhacker</v>
      </c>
      <c r="DD45" s="58">
        <f>'Standard Vorgaben'!$E$155</f>
        <v>1</v>
      </c>
      <c r="DE45" s="563">
        <f>'Standard Vorgaben'!$C$155</f>
        <v>2</v>
      </c>
      <c r="DF45" s="62">
        <f>'Standard Vorgaben'!$D$155</f>
        <v>68.3</v>
      </c>
      <c r="DG45" s="118">
        <f>DF45*DE45*DD45</f>
        <v>136.6</v>
      </c>
      <c r="DH45" s="271">
        <f t="shared" si="43"/>
        <v>4.6479487843905602E-3</v>
      </c>
      <c r="DI45" s="3"/>
      <c r="DJ45" s="4" t="str">
        <f>'Standard Vorgaben'!$B$155</f>
        <v>Schnittholzhacker</v>
      </c>
      <c r="DK45" s="58">
        <f>'Standard Vorgaben'!$E$155</f>
        <v>1</v>
      </c>
      <c r="DL45" s="563">
        <f>'Standard Vorgaben'!$C$155</f>
        <v>2</v>
      </c>
      <c r="DM45" s="62">
        <f>'Standard Vorgaben'!$D$155</f>
        <v>68.3</v>
      </c>
      <c r="DN45" s="118">
        <f>DM45*DL45*DK45</f>
        <v>136.6</v>
      </c>
      <c r="DO45" s="271">
        <f t="shared" si="44"/>
        <v>4.6474914922326844E-3</v>
      </c>
      <c r="DP45" s="3"/>
      <c r="DQ45" s="4" t="str">
        <f>'Standard Vorgaben'!$B$155</f>
        <v>Schnittholzhacker</v>
      </c>
      <c r="DR45" s="58">
        <f>'Standard Vorgaben'!$E$155</f>
        <v>1</v>
      </c>
      <c r="DS45" s="563">
        <f>'Standard Vorgaben'!$C$155</f>
        <v>2</v>
      </c>
      <c r="DT45" s="62">
        <f>'Standard Vorgaben'!$D$155</f>
        <v>68.3</v>
      </c>
      <c r="DU45" s="118">
        <f>DT45*DS45*DR45</f>
        <v>136.6</v>
      </c>
      <c r="DV45" s="271">
        <f t="shared" si="45"/>
        <v>4.647030175636847E-3</v>
      </c>
      <c r="DW45" s="3"/>
      <c r="DX45" s="4" t="str">
        <f>'Standard Vorgaben'!$B$155</f>
        <v>Schnittholzhacker</v>
      </c>
      <c r="DY45" s="58">
        <f>'Standard Vorgaben'!$E$155</f>
        <v>1</v>
      </c>
      <c r="DZ45" s="563">
        <f>'Standard Vorgaben'!$C$155</f>
        <v>2</v>
      </c>
      <c r="EA45" s="62">
        <f>'Standard Vorgaben'!$D$155</f>
        <v>68.3</v>
      </c>
      <c r="EB45" s="118">
        <f>EA45*DZ45*DY45</f>
        <v>136.6</v>
      </c>
      <c r="EC45" s="271">
        <f t="shared" si="46"/>
        <v>4.6465648000042943E-3</v>
      </c>
      <c r="ED45" s="3"/>
      <c r="EE45" s="4" t="str">
        <f>'Standard Vorgaben'!$B$155</f>
        <v>Schnittholzhacker</v>
      </c>
      <c r="EF45" s="58">
        <f>'Standard Vorgaben'!$E$155</f>
        <v>1</v>
      </c>
      <c r="EG45" s="563">
        <f>'Standard Vorgaben'!$C$155</f>
        <v>2</v>
      </c>
      <c r="EH45" s="62">
        <f>'Standard Vorgaben'!$D$155</f>
        <v>68.3</v>
      </c>
      <c r="EI45" s="118">
        <f>EH45*EG45*EF45</f>
        <v>136.6</v>
      </c>
      <c r="EJ45" s="271">
        <f t="shared" si="47"/>
        <v>3.8586445138619301E-3</v>
      </c>
    </row>
    <row r="46" spans="1:256" s="1" customFormat="1" ht="16.5" customHeight="1" x14ac:dyDescent="0.2">
      <c r="A46" s="3"/>
      <c r="B46" s="4" t="s">
        <v>113</v>
      </c>
      <c r="C46" s="46"/>
      <c r="D46" s="625">
        <f>(C39*D39)+(C40*D40)+(C41*D41)+(D43*E43*'Standard Vorgaben'!$H$146)+(C44*D44)+(C45*D45)</f>
        <v>12</v>
      </c>
      <c r="E46" s="62"/>
      <c r="F46" s="120">
        <f>SUM(F39:F45)</f>
        <v>489</v>
      </c>
      <c r="G46" s="271">
        <f t="shared" si="28"/>
        <v>4.8159178112228154E-2</v>
      </c>
      <c r="H46" s="3"/>
      <c r="I46" s="4" t="s">
        <v>113</v>
      </c>
      <c r="J46" s="46"/>
      <c r="K46" s="625">
        <f>(J39*K39)+(J40*K40)+(J41*K41)+(K43*L43*'Standard Vorgaben'!$H$146)+(J44*K44)+(J45*K45)</f>
        <v>18.274999999999999</v>
      </c>
      <c r="L46" s="62"/>
      <c r="M46" s="120">
        <f>SUM(M39:M45)</f>
        <v>679.4375</v>
      </c>
      <c r="N46" s="271">
        <f t="shared" si="29"/>
        <v>5.4597221258237634E-2</v>
      </c>
      <c r="O46" s="3"/>
      <c r="P46" s="4" t="s">
        <v>113</v>
      </c>
      <c r="Q46" s="46"/>
      <c r="R46" s="625">
        <f>(Q39*R39)+(Q40*R40)+(Q41*R41)+(R43*S43*'Standard Vorgaben'!$H$146)+(Q44*R44)+(Q45*R45)</f>
        <v>25.125</v>
      </c>
      <c r="S46" s="62"/>
      <c r="T46" s="120">
        <f>SUM(T39:T45)</f>
        <v>898.72916666666663</v>
      </c>
      <c r="U46" s="271">
        <f t="shared" si="30"/>
        <v>4.8987253333284193E-2</v>
      </c>
      <c r="V46" s="3"/>
      <c r="W46" s="4" t="s">
        <v>113</v>
      </c>
      <c r="X46" s="46"/>
      <c r="Y46" s="625">
        <f>(X39*Y39)+(X40*Y40)+(X41*Y41)+(Y43*Z43*'Standard Vorgaben'!$H$146)+(X44*Y44)+(X45*Y45)</f>
        <v>30.25</v>
      </c>
      <c r="Z46" s="62"/>
      <c r="AA46" s="120">
        <f>SUM(AA39:AA45)</f>
        <v>1094.0583333333334</v>
      </c>
      <c r="AB46" s="271">
        <f t="shared" si="31"/>
        <v>5.3774661991008672E-2</v>
      </c>
      <c r="AC46" s="3"/>
      <c r="AD46" s="4" t="s">
        <v>113</v>
      </c>
      <c r="AE46" s="46"/>
      <c r="AF46" s="625">
        <f>(AE39*AF39)+(AE40*AF40)+(AE41*AF41)+(AF43*AG43*'Standard Vorgaben'!$H$146)+(AE44*AF44)+(AE45*AF45)</f>
        <v>48.5</v>
      </c>
      <c r="AG46" s="62"/>
      <c r="AH46" s="120">
        <f>SUM(AH39:AH45)</f>
        <v>1698.5166666666667</v>
      </c>
      <c r="AI46" s="271">
        <f t="shared" si="32"/>
        <v>6.3895989814438114E-2</v>
      </c>
      <c r="AJ46" s="3"/>
      <c r="AK46" s="4" t="s">
        <v>113</v>
      </c>
      <c r="AL46" s="46"/>
      <c r="AM46" s="625">
        <f>(AL39*AM39)+(AL40*AM40)+(AL41*AM41)+(AM43*AN43*'Standard Vorgaben'!$H$146)+(AL44*AM44)+(AL45*AM45)</f>
        <v>54.6</v>
      </c>
      <c r="AN46" s="62"/>
      <c r="AO46" s="120">
        <f>SUM(AO39:AO45)</f>
        <v>1814.2666666666664</v>
      </c>
      <c r="AP46" s="271">
        <f t="shared" si="33"/>
        <v>6.179009458316731E-2</v>
      </c>
      <c r="AQ46" s="3"/>
      <c r="AR46" s="4" t="s">
        <v>113</v>
      </c>
      <c r="AS46" s="46"/>
      <c r="AT46" s="625">
        <f>(AS39*AT39)+(AS40*AT40)+(AS41*AT41)+(AT43*AU43*'Standard Vorgaben'!$H$146)+(AS44*AT44)+(AS45*AT45)</f>
        <v>54.6</v>
      </c>
      <c r="AU46" s="62"/>
      <c r="AV46" s="120">
        <f>SUM(AV39:AV45)</f>
        <v>1814.2666666666664</v>
      </c>
      <c r="AW46" s="271">
        <f t="shared" si="34"/>
        <v>6.1784531054289001E-2</v>
      </c>
      <c r="AX46" s="3"/>
      <c r="AY46" s="4" t="s">
        <v>113</v>
      </c>
      <c r="AZ46" s="46"/>
      <c r="BA46" s="625">
        <f>(AZ39*BA39)+(AZ40*BA40)+(AZ41*BA41)+(BA43*BB43*'Standard Vorgaben'!$H$146)+(AZ44*BA44)+(AZ45*BA45)</f>
        <v>54.6</v>
      </c>
      <c r="BB46" s="62"/>
      <c r="BC46" s="120">
        <f>SUM(BC39:BC45)</f>
        <v>1814.2666666666664</v>
      </c>
      <c r="BD46" s="271">
        <f t="shared" si="35"/>
        <v>6.1778918468995435E-2</v>
      </c>
      <c r="BE46" s="3"/>
      <c r="BF46" s="4" t="s">
        <v>113</v>
      </c>
      <c r="BG46" s="46"/>
      <c r="BH46" s="625">
        <f>(BG39*BH39)+(BG40*BH40)+(BG41*BH41)+(BH43*BI43*'Standard Vorgaben'!$H$146)+(BG44*BH44)+(BG45*BH45)</f>
        <v>54.6</v>
      </c>
      <c r="BI46" s="62"/>
      <c r="BJ46" s="120">
        <f>SUM(BJ39:BJ45)</f>
        <v>1814.2666666666664</v>
      </c>
      <c r="BK46" s="271">
        <f t="shared" si="36"/>
        <v>6.1773256403855628E-2</v>
      </c>
      <c r="BL46" s="3"/>
      <c r="BM46" s="4" t="s">
        <v>113</v>
      </c>
      <c r="BN46" s="46"/>
      <c r="BO46" s="625">
        <f>(BN39*BO39)+(BN40*BO40)+(BN41*BO41)+(BO43*BP43*'Standard Vorgaben'!$H$146)+(BN44*BO44)+(BN45*BO45)</f>
        <v>54.6</v>
      </c>
      <c r="BP46" s="62"/>
      <c r="BQ46" s="120">
        <f>SUM(BQ39:BQ45)</f>
        <v>1814.2666666666664</v>
      </c>
      <c r="BR46" s="271">
        <f t="shared" si="37"/>
        <v>6.1767544431947E-2</v>
      </c>
      <c r="BS46" s="3"/>
      <c r="BT46" s="4" t="s">
        <v>113</v>
      </c>
      <c r="BU46" s="46"/>
      <c r="BV46" s="625">
        <f>(BU39*BV39)+(BU40*BV40)+(BU41*BV41)+(BV43*BW43*'Standard Vorgaben'!$H$146)+(BU44*BV44)+(BU45*BV45)</f>
        <v>54.6</v>
      </c>
      <c r="BW46" s="62"/>
      <c r="BX46" s="120">
        <f>SUM(BX39:BX45)</f>
        <v>1814.2666666666664</v>
      </c>
      <c r="BY46" s="271">
        <f t="shared" si="38"/>
        <v>6.1761782122829505E-2</v>
      </c>
      <c r="BZ46" s="3"/>
      <c r="CA46" s="4" t="s">
        <v>113</v>
      </c>
      <c r="CB46" s="46"/>
      <c r="CC46" s="625">
        <f>(CB39*CC39)+(CB40*CC40)+(CB41*CC41)+(CC43*CD43*'Standard Vorgaben'!$H$146)+(CB44*CC44)+(CB45*CC45)</f>
        <v>54.6</v>
      </c>
      <c r="CD46" s="62"/>
      <c r="CE46" s="120">
        <f>SUM(CE39:CE45)</f>
        <v>1814.2666666666664</v>
      </c>
      <c r="CF46" s="271">
        <f t="shared" si="39"/>
        <v>6.1755969042519662E-2</v>
      </c>
      <c r="CG46" s="3"/>
      <c r="CH46" s="4" t="s">
        <v>113</v>
      </c>
      <c r="CI46" s="46"/>
      <c r="CJ46" s="625">
        <f>(CI39*CJ39)+(CI40*CJ40)+(CI41*CJ41)+(CJ43*CK43*'Standard Vorgaben'!$H$146)+(CI44*CJ44)+(CI45*CJ45)</f>
        <v>54.6</v>
      </c>
      <c r="CK46" s="62"/>
      <c r="CL46" s="120">
        <f>SUM(CL39:CL45)</f>
        <v>1814.2666666666664</v>
      </c>
      <c r="CM46" s="271">
        <f t="shared" si="40"/>
        <v>6.1750104753464416E-2</v>
      </c>
      <c r="CN46" s="3"/>
      <c r="CO46" s="4" t="s">
        <v>113</v>
      </c>
      <c r="CP46" s="46"/>
      <c r="CQ46" s="625">
        <f>(CP39*CQ39)+(CP40*CQ40)+(CP41*CQ41)+(CQ43*CR43*'Standard Vorgaben'!$H$146)+(CP44*CQ44)+(CP45*CQ45)</f>
        <v>54.6</v>
      </c>
      <c r="CR46" s="62"/>
      <c r="CS46" s="120">
        <f>SUM(CS39:CS45)</f>
        <v>1814.2666666666664</v>
      </c>
      <c r="CT46" s="271">
        <f t="shared" si="41"/>
        <v>6.1744188814514857E-2</v>
      </c>
      <c r="CU46" s="3"/>
      <c r="CV46" s="4" t="s">
        <v>113</v>
      </c>
      <c r="CW46" s="46"/>
      <c r="CX46" s="625">
        <f>(CW39*CX39)+(CW40*CX40)+(CW41*CX41)+(CX43*CY43*'Standard Vorgaben'!$H$146)+(CW44*CX44)+(CW45*CX45)</f>
        <v>54.6</v>
      </c>
      <c r="CY46" s="62"/>
      <c r="CZ46" s="120">
        <f>SUM(CZ39:CZ45)</f>
        <v>1814.2666666666664</v>
      </c>
      <c r="DA46" s="271">
        <f t="shared" si="42"/>
        <v>6.1738220780899848E-2</v>
      </c>
      <c r="DB46" s="3"/>
      <c r="DC46" s="4" t="s">
        <v>113</v>
      </c>
      <c r="DD46" s="46"/>
      <c r="DE46" s="625">
        <f>(DD39*DE39)+(DD40*DE40)+(DD41*DE41)+(DE43*DF43*'Standard Vorgaben'!$H$146)+(DD44*DE44)+(DD45*DE45)</f>
        <v>54.6</v>
      </c>
      <c r="DF46" s="62"/>
      <c r="DG46" s="120">
        <f>SUM(DG39:DG45)</f>
        <v>1814.2666666666664</v>
      </c>
      <c r="DH46" s="271">
        <f t="shared" si="43"/>
        <v>6.1732200204199464E-2</v>
      </c>
      <c r="DI46" s="3"/>
      <c r="DJ46" s="4" t="s">
        <v>113</v>
      </c>
      <c r="DK46" s="46"/>
      <c r="DL46" s="625">
        <f>(DK39*DL39)+(DK40*DL40)+(DK41*DL41)+(DL43*DM43*'Standard Vorgaben'!$H$146)+(DK44*DL44)+(DK45*DL45)</f>
        <v>54.6</v>
      </c>
      <c r="DM46" s="62"/>
      <c r="DN46" s="120">
        <f>SUM(DN39:DN45)</f>
        <v>1814.2666666666664</v>
      </c>
      <c r="DO46" s="271">
        <f t="shared" si="44"/>
        <v>6.1726126632318329E-2</v>
      </c>
      <c r="DP46" s="3"/>
      <c r="DQ46" s="4" t="s">
        <v>113</v>
      </c>
      <c r="DR46" s="46"/>
      <c r="DS46" s="625">
        <f>(DR39*DS39)+(DR40*DS40)+(DR41*DS41)+(DS43*DT43*'Standard Vorgaben'!$H$146)+(DR44*DS44)+(DR45*DS45)</f>
        <v>54.6</v>
      </c>
      <c r="DT46" s="62"/>
      <c r="DU46" s="120">
        <f>SUM(DU39:DU45)</f>
        <v>1814.2666666666664</v>
      </c>
      <c r="DV46" s="271">
        <f t="shared" si="45"/>
        <v>6.1719999609458828E-2</v>
      </c>
      <c r="DW46" s="3"/>
      <c r="DX46" s="4" t="s">
        <v>113</v>
      </c>
      <c r="DY46" s="46"/>
      <c r="DZ46" s="625">
        <f>(DY39*DZ39)+(DY40*DZ40)+(DY41*DZ41)+(DZ43*EA43*'Standard Vorgaben'!$H$146)+(DY44*DZ44)+(DY45*DZ45)</f>
        <v>54.6</v>
      </c>
      <c r="EA46" s="62"/>
      <c r="EB46" s="120">
        <f>SUM(EB39:EB45)</f>
        <v>1814.2666666666664</v>
      </c>
      <c r="EC46" s="271">
        <f t="shared" si="46"/>
        <v>6.1713818676094122E-2</v>
      </c>
      <c r="ED46" s="3"/>
      <c r="EE46" s="4" t="s">
        <v>113</v>
      </c>
      <c r="EF46" s="46"/>
      <c r="EG46" s="625">
        <f>(EF39*EG39)+(EF40*EG40)+(EF41*EG41)+(EG43*EH43*'Standard Vorgaben'!$H$146)+(EF44*EG44)+(EF45*EG45)</f>
        <v>54.6</v>
      </c>
      <c r="EH46" s="62"/>
      <c r="EI46" s="120">
        <f>SUM(EI39:EI45)</f>
        <v>1814.2666666666664</v>
      </c>
      <c r="EJ46" s="271">
        <f t="shared" si="47"/>
        <v>5.1248975988403396E-2</v>
      </c>
    </row>
    <row r="47" spans="1:256" s="1" customFormat="1" x14ac:dyDescent="0.2">
      <c r="A47" s="626"/>
      <c r="B47" s="106" t="str">
        <f>'Standard Vorgaben'!$B$146</f>
        <v>Obstbautraktor 4-Rad</v>
      </c>
      <c r="C47" s="46"/>
      <c r="D47" s="627">
        <f>D46</f>
        <v>12</v>
      </c>
      <c r="E47" s="62">
        <f>'Standard Vorgaben'!$D$146</f>
        <v>41</v>
      </c>
      <c r="F47" s="120">
        <f>D47*E47</f>
        <v>492</v>
      </c>
      <c r="G47" s="271">
        <f t="shared" si="28"/>
        <v>4.8454633192671272E-2</v>
      </c>
      <c r="H47" s="626"/>
      <c r="I47" s="106" t="str">
        <f>'Standard Vorgaben'!$B$146</f>
        <v>Obstbautraktor 4-Rad</v>
      </c>
      <c r="J47" s="46"/>
      <c r="K47" s="627">
        <f>K46</f>
        <v>18.274999999999999</v>
      </c>
      <c r="L47" s="62">
        <f>'Standard Vorgaben'!$D$146</f>
        <v>41</v>
      </c>
      <c r="M47" s="120">
        <f>K47*L47</f>
        <v>749.27499999999998</v>
      </c>
      <c r="N47" s="271">
        <f t="shared" si="29"/>
        <v>6.0209118510924114E-2</v>
      </c>
      <c r="O47" s="626"/>
      <c r="P47" s="106" t="str">
        <f>'Standard Vorgaben'!$B$146</f>
        <v>Obstbautraktor 4-Rad</v>
      </c>
      <c r="Q47" s="46"/>
      <c r="R47" s="627">
        <f>R46</f>
        <v>25.125</v>
      </c>
      <c r="S47" s="62">
        <f>'Standard Vorgaben'!$D$146</f>
        <v>41</v>
      </c>
      <c r="T47" s="120">
        <f>R47*S47</f>
        <v>1030.125</v>
      </c>
      <c r="U47" s="271">
        <f t="shared" si="30"/>
        <v>5.6149278572001443E-2</v>
      </c>
      <c r="V47" s="626"/>
      <c r="W47" s="106" t="str">
        <f>'Standard Vorgaben'!$B$146</f>
        <v>Obstbautraktor 4-Rad</v>
      </c>
      <c r="X47" s="46"/>
      <c r="Y47" s="627">
        <f>Y46</f>
        <v>30.25</v>
      </c>
      <c r="Z47" s="62">
        <f>'Standard Vorgaben'!$D$146</f>
        <v>41</v>
      </c>
      <c r="AA47" s="120">
        <f>Y47*Z47</f>
        <v>1240.25</v>
      </c>
      <c r="AB47" s="271">
        <f t="shared" si="31"/>
        <v>6.0960208886803875E-2</v>
      </c>
      <c r="AC47" s="626"/>
      <c r="AD47" s="106" t="str">
        <f>'Standard Vorgaben'!$B$146</f>
        <v>Obstbautraktor 4-Rad</v>
      </c>
      <c r="AE47" s="46"/>
      <c r="AF47" s="627">
        <f>AF46</f>
        <v>48.5</v>
      </c>
      <c r="AG47" s="62">
        <f>'Standard Vorgaben'!$D$146</f>
        <v>41</v>
      </c>
      <c r="AH47" s="120">
        <f>AF47*AG47</f>
        <v>1988.5</v>
      </c>
      <c r="AI47" s="271">
        <f t="shared" si="32"/>
        <v>7.4804785987387143E-2</v>
      </c>
      <c r="AJ47" s="626"/>
      <c r="AK47" s="106" t="str">
        <f>'Standard Vorgaben'!$B$146</f>
        <v>Obstbautraktor 4-Rad</v>
      </c>
      <c r="AL47" s="46"/>
      <c r="AM47" s="627">
        <f>AM46</f>
        <v>54.6</v>
      </c>
      <c r="AN47" s="62">
        <f>'Standard Vorgaben'!$D$146</f>
        <v>41</v>
      </c>
      <c r="AO47" s="120">
        <f>AM47*AN47</f>
        <v>2238.6</v>
      </c>
      <c r="AP47" s="271">
        <f t="shared" si="33"/>
        <v>7.6241992577650297E-2</v>
      </c>
      <c r="AQ47" s="626"/>
      <c r="AR47" s="106" t="str">
        <f>'Standard Vorgaben'!$B$146</f>
        <v>Obstbautraktor 4-Rad</v>
      </c>
      <c r="AS47" s="46"/>
      <c r="AT47" s="627">
        <f>AT46</f>
        <v>54.6</v>
      </c>
      <c r="AU47" s="62">
        <f>'Standard Vorgaben'!$D$146</f>
        <v>41</v>
      </c>
      <c r="AV47" s="120">
        <f>AT47*AU47</f>
        <v>2238.6</v>
      </c>
      <c r="AW47" s="271">
        <f t="shared" si="34"/>
        <v>7.6235127811860454E-2</v>
      </c>
      <c r="AX47" s="626"/>
      <c r="AY47" s="106" t="str">
        <f>'Standard Vorgaben'!$B$146</f>
        <v>Obstbautraktor 4-Rad</v>
      </c>
      <c r="AZ47" s="46"/>
      <c r="BA47" s="627">
        <f>BA46</f>
        <v>54.6</v>
      </c>
      <c r="BB47" s="62">
        <f>'Standard Vorgaben'!$D$146</f>
        <v>41</v>
      </c>
      <c r="BC47" s="120">
        <f>BA47*BB47</f>
        <v>2238.6</v>
      </c>
      <c r="BD47" s="271">
        <f t="shared" si="35"/>
        <v>7.6228202515999044E-2</v>
      </c>
      <c r="BE47" s="626"/>
      <c r="BF47" s="106" t="str">
        <f>'Standard Vorgaben'!$B$146</f>
        <v>Obstbautraktor 4-Rad</v>
      </c>
      <c r="BG47" s="46"/>
      <c r="BH47" s="627">
        <f>BH46</f>
        <v>54.6</v>
      </c>
      <c r="BI47" s="62">
        <f>'Standard Vorgaben'!$D$146</f>
        <v>41</v>
      </c>
      <c r="BJ47" s="120">
        <f>BH47*BI47</f>
        <v>2238.6</v>
      </c>
      <c r="BK47" s="271">
        <f t="shared" si="36"/>
        <v>7.6221216167600067E-2</v>
      </c>
      <c r="BL47" s="626"/>
      <c r="BM47" s="106" t="str">
        <f>'Standard Vorgaben'!$B$146</f>
        <v>Obstbautraktor 4-Rad</v>
      </c>
      <c r="BN47" s="46"/>
      <c r="BO47" s="627">
        <f>BO46</f>
        <v>54.6</v>
      </c>
      <c r="BP47" s="62">
        <f>'Standard Vorgaben'!$D$146</f>
        <v>41</v>
      </c>
      <c r="BQ47" s="120">
        <f>BO47*BP47</f>
        <v>2238.6</v>
      </c>
      <c r="BR47" s="271">
        <f t="shared" si="37"/>
        <v>7.6214168239889343E-2</v>
      </c>
      <c r="BS47" s="626"/>
      <c r="BT47" s="106" t="str">
        <f>'Standard Vorgaben'!$B$146</f>
        <v>Obstbautraktor 4-Rad</v>
      </c>
      <c r="BU47" s="46"/>
      <c r="BV47" s="627">
        <f>BV46</f>
        <v>54.6</v>
      </c>
      <c r="BW47" s="62">
        <f>'Standard Vorgaben'!$D$146</f>
        <v>41</v>
      </c>
      <c r="BX47" s="120">
        <f>BV47*BW47</f>
        <v>2238.6</v>
      </c>
      <c r="BY47" s="271">
        <f t="shared" si="38"/>
        <v>7.6207058201752484E-2</v>
      </c>
      <c r="BZ47" s="626"/>
      <c r="CA47" s="106" t="str">
        <f>'Standard Vorgaben'!$B$146</f>
        <v>Obstbautraktor 4-Rad</v>
      </c>
      <c r="CB47" s="46"/>
      <c r="CC47" s="627">
        <f>CC46</f>
        <v>54.6</v>
      </c>
      <c r="CD47" s="62">
        <f>'Standard Vorgaben'!$D$146</f>
        <v>41</v>
      </c>
      <c r="CE47" s="120">
        <f>CC47*CD47</f>
        <v>2238.6</v>
      </c>
      <c r="CF47" s="271">
        <f t="shared" si="39"/>
        <v>7.6199885517702945E-2</v>
      </c>
      <c r="CG47" s="626"/>
      <c r="CH47" s="106" t="str">
        <f>'Standard Vorgaben'!$B$146</f>
        <v>Obstbautraktor 4-Rad</v>
      </c>
      <c r="CI47" s="46"/>
      <c r="CJ47" s="627">
        <f>CJ46</f>
        <v>54.6</v>
      </c>
      <c r="CK47" s="62">
        <f>'Standard Vorgaben'!$D$146</f>
        <v>41</v>
      </c>
      <c r="CL47" s="120">
        <f>CJ47*CK47</f>
        <v>2238.6</v>
      </c>
      <c r="CM47" s="271">
        <f t="shared" si="40"/>
        <v>7.6192649647849706E-2</v>
      </c>
      <c r="CN47" s="626"/>
      <c r="CO47" s="106" t="str">
        <f>'Standard Vorgaben'!$B$146</f>
        <v>Obstbautraktor 4-Rad</v>
      </c>
      <c r="CP47" s="46"/>
      <c r="CQ47" s="627">
        <f>CQ46</f>
        <v>54.6</v>
      </c>
      <c r="CR47" s="62">
        <f>'Standard Vorgaben'!$D$146</f>
        <v>41</v>
      </c>
      <c r="CS47" s="120">
        <f>CQ47*CR47</f>
        <v>2238.6</v>
      </c>
      <c r="CT47" s="271">
        <f t="shared" si="41"/>
        <v>7.6185350047864864E-2</v>
      </c>
      <c r="CU47" s="626"/>
      <c r="CV47" s="106" t="str">
        <f>'Standard Vorgaben'!$B$146</f>
        <v>Obstbautraktor 4-Rad</v>
      </c>
      <c r="CW47" s="46"/>
      <c r="CX47" s="627">
        <f>CX46</f>
        <v>54.6</v>
      </c>
      <c r="CY47" s="62">
        <f>'Standard Vorgaben'!$D$146</f>
        <v>41</v>
      </c>
      <c r="CZ47" s="120">
        <f>CX47*CY47</f>
        <v>2238.6</v>
      </c>
      <c r="DA47" s="271">
        <f t="shared" si="42"/>
        <v>7.6177986168951134E-2</v>
      </c>
      <c r="DB47" s="626"/>
      <c r="DC47" s="106" t="str">
        <f>'Standard Vorgaben'!$B$146</f>
        <v>Obstbautraktor 4-Rad</v>
      </c>
      <c r="DD47" s="46"/>
      <c r="DE47" s="627">
        <f>DE46</f>
        <v>54.6</v>
      </c>
      <c r="DF47" s="62">
        <f>'Standard Vorgaben'!$D$146</f>
        <v>41</v>
      </c>
      <c r="DG47" s="120">
        <f>DE47*DF47</f>
        <v>2238.6</v>
      </c>
      <c r="DH47" s="271">
        <f t="shared" si="43"/>
        <v>7.6170557457808985E-2</v>
      </c>
      <c r="DI47" s="626"/>
      <c r="DJ47" s="106" t="str">
        <f>'Standard Vorgaben'!$B$146</f>
        <v>Obstbautraktor 4-Rad</v>
      </c>
      <c r="DK47" s="46"/>
      <c r="DL47" s="627">
        <f>DL46</f>
        <v>54.6</v>
      </c>
      <c r="DM47" s="62">
        <f>'Standard Vorgaben'!$D$146</f>
        <v>41</v>
      </c>
      <c r="DN47" s="120">
        <f>DL47*DM47</f>
        <v>2238.6</v>
      </c>
      <c r="DO47" s="271">
        <f t="shared" si="44"/>
        <v>7.6163063356603861E-2</v>
      </c>
      <c r="DP47" s="626"/>
      <c r="DQ47" s="106" t="str">
        <f>'Standard Vorgaben'!$B$146</f>
        <v>Obstbautraktor 4-Rad</v>
      </c>
      <c r="DR47" s="46"/>
      <c r="DS47" s="627">
        <f>DS46</f>
        <v>54.6</v>
      </c>
      <c r="DT47" s="62">
        <f>'Standard Vorgaben'!$D$146</f>
        <v>41</v>
      </c>
      <c r="DU47" s="120">
        <f>DS47*DT47</f>
        <v>2238.6</v>
      </c>
      <c r="DV47" s="271">
        <f t="shared" si="45"/>
        <v>7.6155503302932984E-2</v>
      </c>
      <c r="DW47" s="626"/>
      <c r="DX47" s="106" t="str">
        <f>'Standard Vorgaben'!$B$146</f>
        <v>Obstbautraktor 4-Rad</v>
      </c>
      <c r="DY47" s="46"/>
      <c r="DZ47" s="627">
        <f>DZ46</f>
        <v>54.6</v>
      </c>
      <c r="EA47" s="62">
        <f>'Standard Vorgaben'!$D$146</f>
        <v>41</v>
      </c>
      <c r="EB47" s="120">
        <f>DZ47*EA47</f>
        <v>2238.6</v>
      </c>
      <c r="EC47" s="271">
        <f t="shared" si="46"/>
        <v>7.6147876729792188E-2</v>
      </c>
      <c r="ED47" s="626"/>
      <c r="EE47" s="106" t="str">
        <f>'Standard Vorgaben'!$B$146</f>
        <v>Obstbautraktor 4-Rad</v>
      </c>
      <c r="EF47" s="46"/>
      <c r="EG47" s="627">
        <f>EG46</f>
        <v>54.6</v>
      </c>
      <c r="EH47" s="62">
        <f>'Standard Vorgaben'!$D$146</f>
        <v>41</v>
      </c>
      <c r="EI47" s="120">
        <f>EG47*EH47</f>
        <v>2238.6</v>
      </c>
      <c r="EJ47" s="271">
        <f t="shared" si="47"/>
        <v>6.3235443694958399E-2</v>
      </c>
    </row>
    <row r="48" spans="1:256" s="1" customFormat="1" x14ac:dyDescent="0.2">
      <c r="A48" s="626"/>
      <c r="B48" s="4" t="str">
        <f>'Standard Vorgaben'!$B$156</f>
        <v>Hebebühne schwer, selbstfahrend, elektrisch</v>
      </c>
      <c r="C48" s="46"/>
      <c r="D48" s="51">
        <f>'Standard Vorgaben'!$C$156*D43+D57/2+D58/2</f>
        <v>12.5</v>
      </c>
      <c r="E48" s="62">
        <f>'Standard Vorgaben'!$D$156</f>
        <v>17.5</v>
      </c>
      <c r="F48" s="120">
        <f>D48*E48</f>
        <v>218.75</v>
      </c>
      <c r="G48" s="271">
        <f t="shared" si="28"/>
        <v>2.1543599615643984E-2</v>
      </c>
      <c r="H48" s="626"/>
      <c r="I48" s="4" t="str">
        <f>'Standard Vorgaben'!$B$156</f>
        <v>Hebebühne schwer, selbstfahrend, elektrisch</v>
      </c>
      <c r="J48" s="46"/>
      <c r="K48" s="51">
        <f>'Standard Vorgaben'!$C$156*K43+K57/2+K58/2</f>
        <v>13.03125</v>
      </c>
      <c r="L48" s="62">
        <f>'Standard Vorgaben'!$D$156</f>
        <v>17.5</v>
      </c>
      <c r="M48" s="120">
        <f>K48*L48</f>
        <v>228.046875</v>
      </c>
      <c r="N48" s="271">
        <f>M48/$F$67</f>
        <v>2.2459202599308854E-2</v>
      </c>
      <c r="O48" s="626"/>
      <c r="P48" s="4" t="str">
        <f>'Standard Vorgaben'!$B$156</f>
        <v>Hebebühne schwer, selbstfahrend, elektrisch</v>
      </c>
      <c r="Q48" s="46"/>
      <c r="R48" s="51">
        <f>'Standard Vorgaben'!$C$156*R43+R57/2+R58/2</f>
        <v>13.385416666666666</v>
      </c>
      <c r="S48" s="62">
        <f>'Standard Vorgaben'!$D$156</f>
        <v>17.5</v>
      </c>
      <c r="T48" s="120">
        <f>R48*S48</f>
        <v>234.24479166666666</v>
      </c>
      <c r="U48" s="271">
        <f>T48/$F$67</f>
        <v>2.3069604588418766E-2</v>
      </c>
      <c r="V48" s="626"/>
      <c r="W48" s="4" t="str">
        <f>'Standard Vorgaben'!$B$156</f>
        <v>Hebebühne schwer, selbstfahrend, elektrisch</v>
      </c>
      <c r="X48" s="46"/>
      <c r="Y48" s="51">
        <f>'Standard Vorgaben'!$C$156*Y43+Y57/2+Y58/2</f>
        <v>14.270833333333334</v>
      </c>
      <c r="Z48" s="62">
        <f>'Standard Vorgaben'!$D$156</f>
        <v>17.5</v>
      </c>
      <c r="AA48" s="120">
        <f>Y48*Z48</f>
        <v>249.73958333333334</v>
      </c>
      <c r="AB48" s="271">
        <f>AA48/$F$67</f>
        <v>2.4595609561193551E-2</v>
      </c>
      <c r="AC48" s="626"/>
      <c r="AD48" s="4" t="str">
        <f>'Standard Vorgaben'!$B$156</f>
        <v>Hebebühne schwer, selbstfahrend, elektrisch</v>
      </c>
      <c r="AE48" s="46"/>
      <c r="AF48" s="51">
        <f>'Standard Vorgaben'!$C$156*AF43+AF57/2+AF58/2</f>
        <v>16.041666666666664</v>
      </c>
      <c r="AG48" s="62">
        <f>'Standard Vorgaben'!$D$156</f>
        <v>17.5</v>
      </c>
      <c r="AH48" s="120">
        <f>AF48*AG48</f>
        <v>280.72916666666663</v>
      </c>
      <c r="AI48" s="271">
        <f>AH48/$F$67</f>
        <v>2.7647619506743111E-2</v>
      </c>
      <c r="AJ48" s="626"/>
      <c r="AK48" s="4" t="str">
        <f>'Standard Vorgaben'!$B$156</f>
        <v>Hebebühne schwer, selbstfahrend, elektrisch</v>
      </c>
      <c r="AL48" s="46"/>
      <c r="AM48" s="51">
        <f>'Standard Vorgaben'!$C$156*AM43+AM57/2+AM58/2</f>
        <v>18.166666666666668</v>
      </c>
      <c r="AN48" s="62">
        <f>'Standard Vorgaben'!$D$156</f>
        <v>17.5</v>
      </c>
      <c r="AO48" s="120">
        <f>AM48*AN48</f>
        <v>317.91666666666669</v>
      </c>
      <c r="AP48" s="271">
        <f>AO48/$F$67</f>
        <v>3.131003144140259E-2</v>
      </c>
      <c r="AQ48" s="626"/>
      <c r="AR48" s="4" t="str">
        <f>'Standard Vorgaben'!$B$156</f>
        <v>Hebebühne schwer, selbstfahrend, elektrisch</v>
      </c>
      <c r="AS48" s="46"/>
      <c r="AT48" s="51">
        <f>'Standard Vorgaben'!$C$156*AT43+AT57/2+AT58/2</f>
        <v>18.166666666666668</v>
      </c>
      <c r="AU48" s="62">
        <f>'Standard Vorgaben'!$D$156</f>
        <v>17.5</v>
      </c>
      <c r="AV48" s="120">
        <f>AT48*AU48</f>
        <v>317.91666666666669</v>
      </c>
      <c r="AW48" s="271">
        <f>AV48/$F$67</f>
        <v>3.131003144140259E-2</v>
      </c>
      <c r="AX48" s="626"/>
      <c r="AY48" s="4" t="str">
        <f>'Standard Vorgaben'!$B$156</f>
        <v>Hebebühne schwer, selbstfahrend, elektrisch</v>
      </c>
      <c r="AZ48" s="46"/>
      <c r="BA48" s="51">
        <f>'Standard Vorgaben'!$C$156*BA43+BA57/2+BA58/2</f>
        <v>18.166666666666668</v>
      </c>
      <c r="BB48" s="62">
        <f>'Standard Vorgaben'!$D$156</f>
        <v>17.5</v>
      </c>
      <c r="BC48" s="120">
        <f>BA48*BB48</f>
        <v>317.91666666666669</v>
      </c>
      <c r="BD48" s="271">
        <f>BC48/$F$67</f>
        <v>3.131003144140259E-2</v>
      </c>
      <c r="BE48" s="626"/>
      <c r="BF48" s="4" t="str">
        <f>'Standard Vorgaben'!$B$156</f>
        <v>Hebebühne schwer, selbstfahrend, elektrisch</v>
      </c>
      <c r="BG48" s="46"/>
      <c r="BH48" s="51">
        <f>'Standard Vorgaben'!$C$156*BH43+BH57/2+BH58/2</f>
        <v>18.166666666666668</v>
      </c>
      <c r="BI48" s="62">
        <f>'Standard Vorgaben'!$D$156</f>
        <v>17.5</v>
      </c>
      <c r="BJ48" s="120">
        <f>BH48*BI48</f>
        <v>317.91666666666669</v>
      </c>
      <c r="BK48" s="271">
        <f>BJ48/$F$67</f>
        <v>3.131003144140259E-2</v>
      </c>
      <c r="BL48" s="626"/>
      <c r="BM48" s="4" t="str">
        <f>'Standard Vorgaben'!$B$156</f>
        <v>Hebebühne schwer, selbstfahrend, elektrisch</v>
      </c>
      <c r="BN48" s="46"/>
      <c r="BO48" s="51">
        <f>'Standard Vorgaben'!$C$156*BO43+BO57/2+BO58/2</f>
        <v>18.166666666666668</v>
      </c>
      <c r="BP48" s="62">
        <f>'Standard Vorgaben'!$D$156</f>
        <v>17.5</v>
      </c>
      <c r="BQ48" s="120">
        <f>BO48*BP48</f>
        <v>317.91666666666669</v>
      </c>
      <c r="BR48" s="271">
        <f>BQ48/$F$67</f>
        <v>3.131003144140259E-2</v>
      </c>
      <c r="BS48" s="626"/>
      <c r="BT48" s="4" t="str">
        <f>'Standard Vorgaben'!$B$156</f>
        <v>Hebebühne schwer, selbstfahrend, elektrisch</v>
      </c>
      <c r="BU48" s="46"/>
      <c r="BV48" s="51">
        <f>'Standard Vorgaben'!$C$156*BV43+BV57/2+BV58/2</f>
        <v>18.166666666666668</v>
      </c>
      <c r="BW48" s="62">
        <f>'Standard Vorgaben'!$D$156</f>
        <v>17.5</v>
      </c>
      <c r="BX48" s="120">
        <f>BV48*BW48</f>
        <v>317.91666666666669</v>
      </c>
      <c r="BY48" s="271">
        <f>BX48/$F$67</f>
        <v>3.131003144140259E-2</v>
      </c>
      <c r="BZ48" s="626"/>
      <c r="CA48" s="4" t="str">
        <f>'Standard Vorgaben'!$B$156</f>
        <v>Hebebühne schwer, selbstfahrend, elektrisch</v>
      </c>
      <c r="CB48" s="46"/>
      <c r="CC48" s="51">
        <f>'Standard Vorgaben'!$C$156*CC43+CC57/2+CC58/2</f>
        <v>18.166666666666668</v>
      </c>
      <c r="CD48" s="62">
        <f>'Standard Vorgaben'!$D$156</f>
        <v>17.5</v>
      </c>
      <c r="CE48" s="120">
        <f>CC48*CD48</f>
        <v>317.91666666666669</v>
      </c>
      <c r="CF48" s="271">
        <f>CE48/$F$67</f>
        <v>3.131003144140259E-2</v>
      </c>
      <c r="CG48" s="626"/>
      <c r="CH48" s="4" t="str">
        <f>'Standard Vorgaben'!$B$156</f>
        <v>Hebebühne schwer, selbstfahrend, elektrisch</v>
      </c>
      <c r="CI48" s="46"/>
      <c r="CJ48" s="51">
        <f>'Standard Vorgaben'!$C$156*CJ43+CJ57/2+CJ58/2</f>
        <v>18.166666666666668</v>
      </c>
      <c r="CK48" s="62">
        <f>'Standard Vorgaben'!$D$156</f>
        <v>17.5</v>
      </c>
      <c r="CL48" s="120">
        <f>CJ48*CK48</f>
        <v>317.91666666666669</v>
      </c>
      <c r="CM48" s="271">
        <f>CL48/$F$67</f>
        <v>3.131003144140259E-2</v>
      </c>
      <c r="CN48" s="626"/>
      <c r="CO48" s="4" t="str">
        <f>'Standard Vorgaben'!$B$156</f>
        <v>Hebebühne schwer, selbstfahrend, elektrisch</v>
      </c>
      <c r="CP48" s="46"/>
      <c r="CQ48" s="51">
        <f>'Standard Vorgaben'!$C$156*CQ43+CQ57/2+CQ58/2</f>
        <v>18.166666666666668</v>
      </c>
      <c r="CR48" s="62">
        <f>'Standard Vorgaben'!$D$156</f>
        <v>17.5</v>
      </c>
      <c r="CS48" s="120">
        <f>CQ48*CR48</f>
        <v>317.91666666666669</v>
      </c>
      <c r="CT48" s="271">
        <f>CS48/$F$67</f>
        <v>3.131003144140259E-2</v>
      </c>
      <c r="CU48" s="626"/>
      <c r="CV48" s="4" t="str">
        <f>'Standard Vorgaben'!$B$156</f>
        <v>Hebebühne schwer, selbstfahrend, elektrisch</v>
      </c>
      <c r="CW48" s="46"/>
      <c r="CX48" s="51">
        <f>'Standard Vorgaben'!$C$156*CX43+CX57/2+CX58/2</f>
        <v>18.166666666666668</v>
      </c>
      <c r="CY48" s="62">
        <f>'Standard Vorgaben'!$D$156</f>
        <v>17.5</v>
      </c>
      <c r="CZ48" s="120">
        <f>CX48*CY48</f>
        <v>317.91666666666669</v>
      </c>
      <c r="DA48" s="271">
        <f>CZ48/$F$67</f>
        <v>3.131003144140259E-2</v>
      </c>
      <c r="DB48" s="626"/>
      <c r="DC48" s="4" t="str">
        <f>'Standard Vorgaben'!$B$156</f>
        <v>Hebebühne schwer, selbstfahrend, elektrisch</v>
      </c>
      <c r="DD48" s="46"/>
      <c r="DE48" s="51">
        <f>'Standard Vorgaben'!$C$156*DE43+DE57/2+DE58/2</f>
        <v>18.166666666666668</v>
      </c>
      <c r="DF48" s="62">
        <f>'Standard Vorgaben'!$D$156</f>
        <v>17.5</v>
      </c>
      <c r="DG48" s="120">
        <f>DE48*DF48</f>
        <v>317.91666666666669</v>
      </c>
      <c r="DH48" s="271">
        <f>DG48/$F$67</f>
        <v>3.131003144140259E-2</v>
      </c>
      <c r="DI48" s="626"/>
      <c r="DJ48" s="4" t="str">
        <f>'Standard Vorgaben'!$B$156</f>
        <v>Hebebühne schwer, selbstfahrend, elektrisch</v>
      </c>
      <c r="DK48" s="46"/>
      <c r="DL48" s="51">
        <f>'Standard Vorgaben'!$C$156*DL43+DL57/2+DL58/2</f>
        <v>18.166666666666668</v>
      </c>
      <c r="DM48" s="62">
        <f>'Standard Vorgaben'!$D$156</f>
        <v>17.5</v>
      </c>
      <c r="DN48" s="120">
        <f>DL48*DM48</f>
        <v>317.91666666666669</v>
      </c>
      <c r="DO48" s="271">
        <f>DN48/$F$67</f>
        <v>3.131003144140259E-2</v>
      </c>
      <c r="DP48" s="626"/>
      <c r="DQ48" s="4" t="str">
        <f>'Standard Vorgaben'!$B$156</f>
        <v>Hebebühne schwer, selbstfahrend, elektrisch</v>
      </c>
      <c r="DR48" s="46"/>
      <c r="DS48" s="51">
        <f>'Standard Vorgaben'!$C$156*DS43+DS57/2+DS58/2</f>
        <v>18.166666666666668</v>
      </c>
      <c r="DT48" s="62">
        <f>'Standard Vorgaben'!$D$156</f>
        <v>17.5</v>
      </c>
      <c r="DU48" s="120">
        <f>DS48*DT48</f>
        <v>317.91666666666669</v>
      </c>
      <c r="DV48" s="271">
        <f>DU48/$F$67</f>
        <v>3.131003144140259E-2</v>
      </c>
      <c r="DW48" s="626"/>
      <c r="DX48" s="4" t="str">
        <f>'Standard Vorgaben'!$B$156</f>
        <v>Hebebühne schwer, selbstfahrend, elektrisch</v>
      </c>
      <c r="DY48" s="46"/>
      <c r="DZ48" s="51">
        <f>'Standard Vorgaben'!$C$156*DZ43+DZ57/2+DZ58/2</f>
        <v>18.166666666666668</v>
      </c>
      <c r="EA48" s="62">
        <f>'Standard Vorgaben'!$D$156</f>
        <v>17.5</v>
      </c>
      <c r="EB48" s="120">
        <f>DZ48*EA48</f>
        <v>317.91666666666669</v>
      </c>
      <c r="EC48" s="271">
        <f>EB48/$F$67</f>
        <v>3.131003144140259E-2</v>
      </c>
      <c r="ED48" s="626"/>
      <c r="EE48" s="4" t="str">
        <f>'Standard Vorgaben'!$B$156</f>
        <v>Hebebühne schwer, selbstfahrend, elektrisch</v>
      </c>
      <c r="EF48" s="46"/>
      <c r="EG48" s="51">
        <f>'Standard Vorgaben'!$C$156*EG43+EG57/2+EG58/2</f>
        <v>18.166666666666668</v>
      </c>
      <c r="EH48" s="62">
        <f>'Standard Vorgaben'!$D$156</f>
        <v>17.5</v>
      </c>
      <c r="EI48" s="120">
        <f>EG48*EH48</f>
        <v>317.91666666666669</v>
      </c>
      <c r="EJ48" s="271">
        <f>EI48/$F$67</f>
        <v>3.131003144140259E-2</v>
      </c>
    </row>
    <row r="49" spans="1:140" s="1" customFormat="1" x14ac:dyDescent="0.2">
      <c r="A49" s="223"/>
      <c r="B49" s="4" t="str">
        <f>'Standard Vorgaben'!$B$157</f>
        <v>Diverse Kleingeräte</v>
      </c>
      <c r="C49" s="46"/>
      <c r="D49" s="46"/>
      <c r="E49" s="62"/>
      <c r="F49" s="228">
        <f>'Standard Vorgaben'!$D$157</f>
        <v>500</v>
      </c>
      <c r="G49" s="271">
        <f t="shared" si="28"/>
        <v>4.9242513407186252E-2</v>
      </c>
      <c r="H49" s="223"/>
      <c r="I49" s="4" t="str">
        <f>'Standard Vorgaben'!$B$157</f>
        <v>Diverse Kleingeräte</v>
      </c>
      <c r="J49" s="46"/>
      <c r="K49" s="46"/>
      <c r="L49" s="62"/>
      <c r="M49" s="228">
        <f>'Standard Vorgaben'!$D$157</f>
        <v>500</v>
      </c>
      <c r="N49" s="271">
        <f t="shared" si="29"/>
        <v>4.0178251316889069E-2</v>
      </c>
      <c r="O49" s="223"/>
      <c r="P49" s="4" t="str">
        <f>'Standard Vorgaben'!$B$157</f>
        <v>Diverse Kleingeräte</v>
      </c>
      <c r="Q49" s="46"/>
      <c r="R49" s="46"/>
      <c r="S49" s="62"/>
      <c r="T49" s="228">
        <f>'Standard Vorgaben'!$D$157</f>
        <v>500</v>
      </c>
      <c r="U49" s="271">
        <f t="shared" si="30"/>
        <v>2.7253623867007134E-2</v>
      </c>
      <c r="V49" s="223"/>
      <c r="W49" s="4" t="str">
        <f>'Standard Vorgaben'!$B$157</f>
        <v>Diverse Kleingeräte</v>
      </c>
      <c r="X49" s="46"/>
      <c r="Y49" s="46"/>
      <c r="Z49" s="62"/>
      <c r="AA49" s="228">
        <f>'Standard Vorgaben'!$D$157</f>
        <v>500</v>
      </c>
      <c r="AB49" s="271">
        <f t="shared" si="31"/>
        <v>2.4575774596574833E-2</v>
      </c>
      <c r="AC49" s="223"/>
      <c r="AD49" s="4" t="str">
        <f>'Standard Vorgaben'!$B$157</f>
        <v>Diverse Kleingeräte</v>
      </c>
      <c r="AE49" s="46"/>
      <c r="AF49" s="46"/>
      <c r="AG49" s="62"/>
      <c r="AH49" s="228">
        <f>'Standard Vorgaben'!$D$157</f>
        <v>500</v>
      </c>
      <c r="AI49" s="271">
        <f t="shared" si="32"/>
        <v>1.8809350260846652E-2</v>
      </c>
      <c r="AJ49" s="223"/>
      <c r="AK49" s="4" t="str">
        <f>'Standard Vorgaben'!$B$157</f>
        <v>Diverse Kleingeräte</v>
      </c>
      <c r="AL49" s="46"/>
      <c r="AM49" s="46"/>
      <c r="AN49" s="62"/>
      <c r="AO49" s="228">
        <f>'Standard Vorgaben'!$D$157</f>
        <v>500</v>
      </c>
      <c r="AP49" s="271">
        <f t="shared" si="33"/>
        <v>1.7028945005282386E-2</v>
      </c>
      <c r="AQ49" s="223"/>
      <c r="AR49" s="4" t="str">
        <f>'Standard Vorgaben'!$B$157</f>
        <v>Diverse Kleingeräte</v>
      </c>
      <c r="AS49" s="46"/>
      <c r="AT49" s="46"/>
      <c r="AU49" s="62"/>
      <c r="AV49" s="228">
        <f>'Standard Vorgaben'!$D$157</f>
        <v>500</v>
      </c>
      <c r="AW49" s="271">
        <f t="shared" si="34"/>
        <v>1.7027411733194959E-2</v>
      </c>
      <c r="AX49" s="223"/>
      <c r="AY49" s="4" t="str">
        <f>'Standard Vorgaben'!$B$157</f>
        <v>Diverse Kleingeräte</v>
      </c>
      <c r="AZ49" s="46"/>
      <c r="BA49" s="46"/>
      <c r="BB49" s="62"/>
      <c r="BC49" s="228">
        <f>'Standard Vorgaben'!$D$157</f>
        <v>500</v>
      </c>
      <c r="BD49" s="271">
        <f t="shared" si="35"/>
        <v>1.7025864941481068E-2</v>
      </c>
      <c r="BE49" s="223"/>
      <c r="BF49" s="4" t="str">
        <f>'Standard Vorgaben'!$B$157</f>
        <v>Diverse Kleingeräte</v>
      </c>
      <c r="BG49" s="46"/>
      <c r="BH49" s="46"/>
      <c r="BI49" s="62"/>
      <c r="BJ49" s="228">
        <f>'Standard Vorgaben'!$D$157</f>
        <v>500</v>
      </c>
      <c r="BK49" s="271">
        <f t="shared" si="36"/>
        <v>1.7024304513445918E-2</v>
      </c>
      <c r="BL49" s="223"/>
      <c r="BM49" s="4" t="str">
        <f>'Standard Vorgaben'!$B$157</f>
        <v>Diverse Kleingeräte</v>
      </c>
      <c r="BN49" s="46"/>
      <c r="BO49" s="46"/>
      <c r="BP49" s="62"/>
      <c r="BQ49" s="228">
        <f>'Standard Vorgaben'!$D$157</f>
        <v>500</v>
      </c>
      <c r="BR49" s="271">
        <f t="shared" si="37"/>
        <v>1.7022730331432444E-2</v>
      </c>
      <c r="BS49" s="223"/>
      <c r="BT49" s="4" t="str">
        <f>'Standard Vorgaben'!$B$157</f>
        <v>Diverse Kleingeräte</v>
      </c>
      <c r="BU49" s="46"/>
      <c r="BV49" s="46"/>
      <c r="BW49" s="62"/>
      <c r="BX49" s="228">
        <f>'Standard Vorgaben'!$D$157</f>
        <v>500</v>
      </c>
      <c r="BY49" s="271">
        <f t="shared" si="38"/>
        <v>1.7021142276814189E-2</v>
      </c>
      <c r="BZ49" s="223"/>
      <c r="CA49" s="4" t="str">
        <f>'Standard Vorgaben'!$B$157</f>
        <v>Diverse Kleingeräte</v>
      </c>
      <c r="CB49" s="46"/>
      <c r="CC49" s="46"/>
      <c r="CD49" s="62"/>
      <c r="CE49" s="228">
        <f>'Standard Vorgaben'!$D$157</f>
        <v>500</v>
      </c>
      <c r="CF49" s="271">
        <f t="shared" si="39"/>
        <v>1.701954022998815E-2</v>
      </c>
      <c r="CG49" s="223"/>
      <c r="CH49" s="4" t="str">
        <f>'Standard Vorgaben'!$B$157</f>
        <v>Diverse Kleingeräte</v>
      </c>
      <c r="CI49" s="46"/>
      <c r="CJ49" s="46"/>
      <c r="CK49" s="62"/>
      <c r="CL49" s="228">
        <f>'Standard Vorgaben'!$D$157</f>
        <v>500</v>
      </c>
      <c r="CM49" s="271">
        <f t="shared" si="40"/>
        <v>1.7017924070367573E-2</v>
      </c>
      <c r="CN49" s="223"/>
      <c r="CO49" s="4" t="str">
        <f>'Standard Vorgaben'!$B$157</f>
        <v>Diverse Kleingeräte</v>
      </c>
      <c r="CP49" s="46"/>
      <c r="CQ49" s="46"/>
      <c r="CR49" s="62"/>
      <c r="CS49" s="228">
        <f>'Standard Vorgaben'!$D$157</f>
        <v>500</v>
      </c>
      <c r="CT49" s="271">
        <f t="shared" si="41"/>
        <v>1.7016293676374715E-2</v>
      </c>
      <c r="CU49" s="223"/>
      <c r="CV49" s="4" t="str">
        <f>'Standard Vorgaben'!$B$157</f>
        <v>Diverse Kleingeräte</v>
      </c>
      <c r="CW49" s="46"/>
      <c r="CX49" s="46"/>
      <c r="CY49" s="62"/>
      <c r="CZ49" s="228">
        <f>'Standard Vorgaben'!$D$157</f>
        <v>500</v>
      </c>
      <c r="DA49" s="271">
        <f t="shared" si="42"/>
        <v>1.701464892543356E-2</v>
      </c>
      <c r="DB49" s="223"/>
      <c r="DC49" s="4" t="str">
        <f>'Standard Vorgaben'!$B$157</f>
        <v>Diverse Kleingeräte</v>
      </c>
      <c r="DD49" s="46"/>
      <c r="DE49" s="46"/>
      <c r="DF49" s="62"/>
      <c r="DG49" s="228">
        <f>'Standard Vorgaben'!$D$157</f>
        <v>500</v>
      </c>
      <c r="DH49" s="271">
        <f t="shared" si="43"/>
        <v>1.7012989693962519E-2</v>
      </c>
      <c r="DI49" s="223"/>
      <c r="DJ49" s="4" t="str">
        <f>'Standard Vorgaben'!$B$157</f>
        <v>Diverse Kleingeräte</v>
      </c>
      <c r="DK49" s="46"/>
      <c r="DL49" s="46"/>
      <c r="DM49" s="62"/>
      <c r="DN49" s="228">
        <f>'Standard Vorgaben'!$D$157</f>
        <v>500</v>
      </c>
      <c r="DO49" s="271">
        <f t="shared" si="44"/>
        <v>1.7011315857367072E-2</v>
      </c>
      <c r="DP49" s="223"/>
      <c r="DQ49" s="4" t="str">
        <f>'Standard Vorgaben'!$B$157</f>
        <v>Diverse Kleingeräte</v>
      </c>
      <c r="DR49" s="46"/>
      <c r="DS49" s="46"/>
      <c r="DT49" s="62"/>
      <c r="DU49" s="228">
        <f>'Standard Vorgaben'!$D$157</f>
        <v>500</v>
      </c>
      <c r="DV49" s="271">
        <f t="shared" si="45"/>
        <v>1.7009627290032383E-2</v>
      </c>
      <c r="DW49" s="223"/>
      <c r="DX49" s="4" t="str">
        <f>'Standard Vorgaben'!$B$157</f>
        <v>Diverse Kleingeräte</v>
      </c>
      <c r="DY49" s="46"/>
      <c r="DZ49" s="46"/>
      <c r="EA49" s="62"/>
      <c r="EB49" s="228">
        <f>'Standard Vorgaben'!$D$157</f>
        <v>500</v>
      </c>
      <c r="EC49" s="271">
        <f t="shared" si="46"/>
        <v>1.7007923865315865E-2</v>
      </c>
      <c r="ED49" s="223"/>
      <c r="EE49" s="4" t="str">
        <f>'Standard Vorgaben'!$B$157</f>
        <v>Diverse Kleingeräte</v>
      </c>
      <c r="EF49" s="46"/>
      <c r="EG49" s="46"/>
      <c r="EH49" s="62"/>
      <c r="EI49" s="228">
        <f>'Standard Vorgaben'!$D$157</f>
        <v>500</v>
      </c>
      <c r="EJ49" s="271">
        <f t="shared" si="47"/>
        <v>1.412388182233503E-2</v>
      </c>
    </row>
    <row r="50" spans="1:140" s="1" customFormat="1" x14ac:dyDescent="0.2">
      <c r="A50" s="628"/>
      <c r="B50" s="4"/>
      <c r="C50" s="46"/>
      <c r="D50" s="46"/>
      <c r="E50" s="62"/>
      <c r="F50" s="77">
        <f>F49+F47+F48+F46</f>
        <v>1699.75</v>
      </c>
      <c r="G50" s="271">
        <f t="shared" si="28"/>
        <v>0.16739992432772965</v>
      </c>
      <c r="H50" s="628"/>
      <c r="I50" s="4"/>
      <c r="J50" s="46"/>
      <c r="K50" s="46"/>
      <c r="L50" s="62"/>
      <c r="M50" s="77">
        <f>M49+M47+M48+M46</f>
        <v>2156.7593750000001</v>
      </c>
      <c r="N50" s="271">
        <f t="shared" si="29"/>
        <v>0.17330964039761321</v>
      </c>
      <c r="O50" s="628"/>
      <c r="P50" s="4"/>
      <c r="Q50" s="46"/>
      <c r="R50" s="46"/>
      <c r="S50" s="62"/>
      <c r="T50" s="77">
        <f>T49+T47+T48+T46</f>
        <v>2663.0989583333335</v>
      </c>
      <c r="U50" s="271">
        <f t="shared" si="30"/>
        <v>0.14515819466207033</v>
      </c>
      <c r="V50" s="628"/>
      <c r="W50" s="4"/>
      <c r="X50" s="46"/>
      <c r="Y50" s="46"/>
      <c r="Z50" s="62"/>
      <c r="AA50" s="77">
        <f>AA49+AA47+AA48+AA46</f>
        <v>3084.0479166666664</v>
      </c>
      <c r="AB50" s="271">
        <f t="shared" si="31"/>
        <v>0.15158573289007241</v>
      </c>
      <c r="AC50" s="628"/>
      <c r="AD50" s="4"/>
      <c r="AE50" s="46"/>
      <c r="AF50" s="46"/>
      <c r="AG50" s="62"/>
      <c r="AH50" s="77">
        <f>AH49+AH47+AH48+AH46</f>
        <v>4467.7458333333334</v>
      </c>
      <c r="AI50" s="271">
        <f t="shared" si="32"/>
        <v>0.16807079251120977</v>
      </c>
      <c r="AJ50" s="628"/>
      <c r="AK50" s="4"/>
      <c r="AL50" s="46"/>
      <c r="AM50" s="46"/>
      <c r="AN50" s="62"/>
      <c r="AO50" s="77">
        <f>AO49+AO47+AO48+AO46</f>
        <v>4870.7833333333328</v>
      </c>
      <c r="AP50" s="271">
        <f t="shared" si="33"/>
        <v>0.16588860303195871</v>
      </c>
      <c r="AQ50" s="628"/>
      <c r="AR50" s="4"/>
      <c r="AS50" s="46"/>
      <c r="AT50" s="46"/>
      <c r="AU50" s="62"/>
      <c r="AV50" s="77">
        <f>AV49+AV47+AV48+AV46</f>
        <v>4870.7833333333328</v>
      </c>
      <c r="AW50" s="271">
        <f t="shared" si="34"/>
        <v>0.16587366655970087</v>
      </c>
      <c r="AX50" s="628"/>
      <c r="AY50" s="4"/>
      <c r="AZ50" s="46"/>
      <c r="BA50" s="46"/>
      <c r="BB50" s="62"/>
      <c r="BC50" s="77">
        <f>BC49+BC47+BC48+BC46</f>
        <v>4870.7833333333328</v>
      </c>
      <c r="BD50" s="271">
        <f t="shared" si="35"/>
        <v>0.16585859838510059</v>
      </c>
      <c r="BE50" s="628"/>
      <c r="BF50" s="4"/>
      <c r="BG50" s="46"/>
      <c r="BH50" s="46"/>
      <c r="BI50" s="62"/>
      <c r="BJ50" s="77">
        <f>BJ49+BJ47+BJ48+BJ46</f>
        <v>4870.7833333333328</v>
      </c>
      <c r="BK50" s="271">
        <f t="shared" si="36"/>
        <v>0.16584339737136763</v>
      </c>
      <c r="BL50" s="628"/>
      <c r="BM50" s="4"/>
      <c r="BN50" s="46"/>
      <c r="BO50" s="46"/>
      <c r="BP50" s="62"/>
      <c r="BQ50" s="77">
        <f>BQ49+BQ47+BQ48+BQ46</f>
        <v>4870.7833333333328</v>
      </c>
      <c r="BR50" s="271">
        <f t="shared" si="37"/>
        <v>0.16582806237233791</v>
      </c>
      <c r="BS50" s="628"/>
      <c r="BT50" s="4"/>
      <c r="BU50" s="46"/>
      <c r="BV50" s="46"/>
      <c r="BW50" s="62"/>
      <c r="BX50" s="77">
        <f>BX49+BX47+BX48+BX46</f>
        <v>4870.7833333333328</v>
      </c>
      <c r="BY50" s="271">
        <f t="shared" si="38"/>
        <v>0.16581259223240385</v>
      </c>
      <c r="BZ50" s="628"/>
      <c r="CA50" s="4"/>
      <c r="CB50" s="46"/>
      <c r="CC50" s="46"/>
      <c r="CD50" s="62"/>
      <c r="CE50" s="77">
        <f>CE49+CE47+CE48+CE46</f>
        <v>4870.7833333333328</v>
      </c>
      <c r="CF50" s="271">
        <f t="shared" si="39"/>
        <v>0.16579698578644489</v>
      </c>
      <c r="CG50" s="628"/>
      <c r="CH50" s="4"/>
      <c r="CI50" s="46"/>
      <c r="CJ50" s="46"/>
      <c r="CK50" s="62"/>
      <c r="CL50" s="77">
        <f>CL49+CL47+CL48+CL46</f>
        <v>4870.7833333333328</v>
      </c>
      <c r="CM50" s="271">
        <f t="shared" si="40"/>
        <v>0.16578124185975707</v>
      </c>
      <c r="CN50" s="628"/>
      <c r="CO50" s="4"/>
      <c r="CP50" s="46"/>
      <c r="CQ50" s="46"/>
      <c r="CR50" s="62"/>
      <c r="CS50" s="77">
        <f>CS49+CS47+CS48+CS46</f>
        <v>4870.7833333333328</v>
      </c>
      <c r="CT50" s="271">
        <f t="shared" si="41"/>
        <v>0.16576535926798269</v>
      </c>
      <c r="CU50" s="628"/>
      <c r="CV50" s="4"/>
      <c r="CW50" s="46"/>
      <c r="CX50" s="46"/>
      <c r="CY50" s="62"/>
      <c r="CZ50" s="77">
        <f>CZ49+CZ47+CZ48+CZ46</f>
        <v>4870.7833333333328</v>
      </c>
      <c r="DA50" s="271">
        <f t="shared" si="42"/>
        <v>0.16574933681703938</v>
      </c>
      <c r="DB50" s="628"/>
      <c r="DC50" s="4"/>
      <c r="DD50" s="46"/>
      <c r="DE50" s="46"/>
      <c r="DF50" s="62"/>
      <c r="DG50" s="77">
        <f>DG49+DG47+DG48+DG46</f>
        <v>4870.7833333333328</v>
      </c>
      <c r="DH50" s="271">
        <f t="shared" si="43"/>
        <v>0.16573317330304879</v>
      </c>
      <c r="DI50" s="628"/>
      <c r="DJ50" s="4"/>
      <c r="DK50" s="46"/>
      <c r="DL50" s="46"/>
      <c r="DM50" s="62"/>
      <c r="DN50" s="77">
        <f>DN49+DN47+DN48+DN46</f>
        <v>4870.7833333333328</v>
      </c>
      <c r="DO50" s="271">
        <f t="shared" si="44"/>
        <v>0.16571686751226516</v>
      </c>
      <c r="DP50" s="628"/>
      <c r="DQ50" s="4"/>
      <c r="DR50" s="46"/>
      <c r="DS50" s="46"/>
      <c r="DT50" s="62"/>
      <c r="DU50" s="77">
        <f>DU49+DU47+DU48+DU46</f>
        <v>4870.7833333333328</v>
      </c>
      <c r="DV50" s="271">
        <f t="shared" si="45"/>
        <v>0.16570041822100312</v>
      </c>
      <c r="DW50" s="628"/>
      <c r="DX50" s="4"/>
      <c r="DY50" s="46"/>
      <c r="DZ50" s="46"/>
      <c r="EA50" s="62"/>
      <c r="EB50" s="77">
        <f>EB49+EB47+EB48+EB46</f>
        <v>4870.7833333333328</v>
      </c>
      <c r="EC50" s="271">
        <f t="shared" si="46"/>
        <v>0.16568382419556552</v>
      </c>
      <c r="ED50" s="628"/>
      <c r="EE50" s="4"/>
      <c r="EF50" s="46"/>
      <c r="EG50" s="46"/>
      <c r="EH50" s="62"/>
      <c r="EI50" s="77">
        <f>EI49+EI47+EI48+EI46</f>
        <v>4870.7833333333328</v>
      </c>
      <c r="EJ50" s="271">
        <f t="shared" si="47"/>
        <v>0.13758873636439817</v>
      </c>
    </row>
    <row r="51" spans="1:140" ht="19.5" customHeight="1" x14ac:dyDescent="0.2">
      <c r="A51"/>
      <c r="C51" s="58"/>
      <c r="D51" s="123" t="s">
        <v>27</v>
      </c>
      <c r="E51" s="128" t="s">
        <v>21</v>
      </c>
      <c r="F51" s="124" t="s">
        <v>22</v>
      </c>
      <c r="G51" s="42"/>
      <c r="H51"/>
      <c r="I51" s="19"/>
      <c r="J51" s="58"/>
      <c r="K51" s="123" t="s">
        <v>27</v>
      </c>
      <c r="L51" s="128" t="s">
        <v>21</v>
      </c>
      <c r="M51" s="124" t="s">
        <v>22</v>
      </c>
      <c r="N51" s="42"/>
      <c r="P51" s="19"/>
      <c r="Q51" s="58"/>
      <c r="R51" s="123" t="s">
        <v>27</v>
      </c>
      <c r="S51" s="128" t="s">
        <v>21</v>
      </c>
      <c r="T51" s="124" t="s">
        <v>22</v>
      </c>
      <c r="U51" s="42"/>
      <c r="W51" s="19"/>
      <c r="X51" s="58"/>
      <c r="Y51" s="123" t="s">
        <v>27</v>
      </c>
      <c r="Z51" s="128" t="s">
        <v>21</v>
      </c>
      <c r="AA51" s="124" t="s">
        <v>22</v>
      </c>
      <c r="AB51" s="42"/>
      <c r="AD51" s="19"/>
      <c r="AE51" s="58"/>
      <c r="AF51" s="123" t="s">
        <v>27</v>
      </c>
      <c r="AG51" s="128" t="s">
        <v>21</v>
      </c>
      <c r="AH51" s="124" t="s">
        <v>22</v>
      </c>
      <c r="AI51" s="42"/>
      <c r="AK51" s="19"/>
      <c r="AL51" s="58"/>
      <c r="AM51" s="123" t="s">
        <v>27</v>
      </c>
      <c r="AN51" s="128" t="s">
        <v>21</v>
      </c>
      <c r="AO51" s="124" t="s">
        <v>22</v>
      </c>
      <c r="AP51" s="42"/>
      <c r="AR51" s="19"/>
      <c r="AS51" s="58"/>
      <c r="AT51" s="123" t="s">
        <v>27</v>
      </c>
      <c r="AU51" s="128" t="s">
        <v>21</v>
      </c>
      <c r="AV51" s="124" t="s">
        <v>22</v>
      </c>
      <c r="AW51" s="42"/>
      <c r="AY51" s="19"/>
      <c r="AZ51" s="58"/>
      <c r="BA51" s="123" t="s">
        <v>27</v>
      </c>
      <c r="BB51" s="128" t="s">
        <v>21</v>
      </c>
      <c r="BC51" s="124" t="s">
        <v>22</v>
      </c>
      <c r="BD51" s="42"/>
      <c r="BF51" s="19"/>
      <c r="BG51" s="58"/>
      <c r="BH51" s="123" t="s">
        <v>27</v>
      </c>
      <c r="BI51" s="128" t="s">
        <v>21</v>
      </c>
      <c r="BJ51" s="124" t="s">
        <v>22</v>
      </c>
      <c r="BK51" s="42"/>
      <c r="BM51" s="19"/>
      <c r="BN51" s="58"/>
      <c r="BO51" s="123" t="s">
        <v>27</v>
      </c>
      <c r="BP51" s="128" t="s">
        <v>21</v>
      </c>
      <c r="BQ51" s="124" t="s">
        <v>22</v>
      </c>
      <c r="BR51" s="42"/>
      <c r="BT51" s="19"/>
      <c r="BU51" s="58"/>
      <c r="BV51" s="123" t="s">
        <v>27</v>
      </c>
      <c r="BW51" s="128" t="s">
        <v>21</v>
      </c>
      <c r="BX51" s="124" t="s">
        <v>22</v>
      </c>
      <c r="BY51" s="42"/>
      <c r="CA51" s="19"/>
      <c r="CB51" s="58"/>
      <c r="CC51" s="123" t="s">
        <v>27</v>
      </c>
      <c r="CD51" s="128" t="s">
        <v>21</v>
      </c>
      <c r="CE51" s="124" t="s">
        <v>22</v>
      </c>
      <c r="CF51" s="42"/>
      <c r="CH51" s="19"/>
      <c r="CI51" s="58"/>
      <c r="CJ51" s="123" t="s">
        <v>27</v>
      </c>
      <c r="CK51" s="128" t="s">
        <v>21</v>
      </c>
      <c r="CL51" s="124" t="s">
        <v>22</v>
      </c>
      <c r="CM51" s="42"/>
      <c r="CO51" s="19"/>
      <c r="CP51" s="58"/>
      <c r="CQ51" s="123" t="s">
        <v>27</v>
      </c>
      <c r="CR51" s="128" t="s">
        <v>21</v>
      </c>
      <c r="CS51" s="124" t="s">
        <v>22</v>
      </c>
      <c r="CT51" s="42"/>
      <c r="CV51" s="19"/>
      <c r="CW51" s="58"/>
      <c r="CX51" s="123" t="s">
        <v>27</v>
      </c>
      <c r="CY51" s="128" t="s">
        <v>21</v>
      </c>
      <c r="CZ51" s="124" t="s">
        <v>22</v>
      </c>
      <c r="DA51" s="42"/>
      <c r="DC51" s="19"/>
      <c r="DD51" s="58"/>
      <c r="DE51" s="123" t="s">
        <v>27</v>
      </c>
      <c r="DF51" s="128" t="s">
        <v>21</v>
      </c>
      <c r="DG51" s="124" t="s">
        <v>22</v>
      </c>
      <c r="DH51" s="42"/>
      <c r="DJ51" s="19"/>
      <c r="DK51" s="58"/>
      <c r="DL51" s="123" t="s">
        <v>27</v>
      </c>
      <c r="DM51" s="128" t="s">
        <v>21</v>
      </c>
      <c r="DN51" s="124" t="s">
        <v>22</v>
      </c>
      <c r="DO51" s="42"/>
      <c r="DQ51" s="19"/>
      <c r="DR51" s="58"/>
      <c r="DS51" s="123" t="s">
        <v>27</v>
      </c>
      <c r="DT51" s="128" t="s">
        <v>21</v>
      </c>
      <c r="DU51" s="124" t="s">
        <v>22</v>
      </c>
      <c r="DV51" s="42"/>
      <c r="DX51" s="19"/>
      <c r="DY51" s="58"/>
      <c r="DZ51" s="123" t="s">
        <v>27</v>
      </c>
      <c r="EA51" s="128" t="s">
        <v>21</v>
      </c>
      <c r="EB51" s="124" t="s">
        <v>22</v>
      </c>
      <c r="EC51" s="42"/>
      <c r="EE51" s="19"/>
      <c r="EF51" s="58"/>
      <c r="EG51" s="123" t="s">
        <v>27</v>
      </c>
      <c r="EH51" s="128" t="s">
        <v>21</v>
      </c>
      <c r="EI51" s="124" t="s">
        <v>22</v>
      </c>
      <c r="EJ51" s="42"/>
    </row>
    <row r="52" spans="1:140" s="1" customFormat="1" ht="15.75" customHeight="1" x14ac:dyDescent="0.2">
      <c r="A52" s="3" t="s">
        <v>64</v>
      </c>
      <c r="B52" s="4" t="s">
        <v>29</v>
      </c>
      <c r="C52" s="58"/>
      <c r="D52" s="503">
        <f>C41*D41</f>
        <v>0</v>
      </c>
      <c r="E52" s="62">
        <f>'Standard Vorgaben'!$C$38</f>
        <v>32.700000000000003</v>
      </c>
      <c r="F52" s="43">
        <f>D52*E52</f>
        <v>0</v>
      </c>
      <c r="G52" s="271">
        <f t="shared" ref="G52:G67" si="48">F52/$F$67</f>
        <v>0</v>
      </c>
      <c r="H52" s="3" t="s">
        <v>64</v>
      </c>
      <c r="I52" s="4" t="s">
        <v>29</v>
      </c>
      <c r="J52" s="58"/>
      <c r="K52" s="503">
        <f>J41*K41</f>
        <v>1</v>
      </c>
      <c r="L52" s="62">
        <f>'Standard Vorgaben'!$C$38</f>
        <v>32.700000000000003</v>
      </c>
      <c r="M52" s="43">
        <f>K52*L52</f>
        <v>32.700000000000003</v>
      </c>
      <c r="N52" s="271">
        <f t="shared" ref="N52:N67" si="49">M52/$M$67</f>
        <v>2.6276576361245457E-3</v>
      </c>
      <c r="O52" s="3" t="s">
        <v>64</v>
      </c>
      <c r="P52" s="4" t="s">
        <v>29</v>
      </c>
      <c r="Q52" s="58"/>
      <c r="R52" s="503">
        <f>Q41*R41</f>
        <v>2</v>
      </c>
      <c r="S52" s="62">
        <f>'Standard Vorgaben'!$C$38</f>
        <v>32.700000000000003</v>
      </c>
      <c r="T52" s="43">
        <f>R52*S52</f>
        <v>65.400000000000006</v>
      </c>
      <c r="U52" s="271">
        <f t="shared" ref="U52:U67" si="50">T52/$T$67</f>
        <v>3.5647740018045332E-3</v>
      </c>
      <c r="V52" s="3" t="s">
        <v>64</v>
      </c>
      <c r="W52" s="4" t="s">
        <v>29</v>
      </c>
      <c r="X52" s="58"/>
      <c r="Y52" s="503">
        <f>X41*Y41</f>
        <v>3</v>
      </c>
      <c r="Z52" s="62">
        <f>'Standard Vorgaben'!$C$38</f>
        <v>32.700000000000003</v>
      </c>
      <c r="AA52" s="43">
        <f t="shared" ref="AA52:AA61" si="51">Y52*Z52</f>
        <v>98.100000000000009</v>
      </c>
      <c r="AB52" s="271">
        <f t="shared" ref="AB52:AB67" si="52">AA52/$AA$67</f>
        <v>4.821766975847983E-3</v>
      </c>
      <c r="AC52" s="3" t="s">
        <v>64</v>
      </c>
      <c r="AD52" s="4" t="s">
        <v>29</v>
      </c>
      <c r="AE52" s="58"/>
      <c r="AF52" s="503">
        <f>AE41*AF41</f>
        <v>3</v>
      </c>
      <c r="AG52" s="62">
        <f>'Standard Vorgaben'!$C$38</f>
        <v>32.700000000000003</v>
      </c>
      <c r="AH52" s="43">
        <f t="shared" ref="AH52:AH61" si="53">AF52*AG52</f>
        <v>98.100000000000009</v>
      </c>
      <c r="AI52" s="271">
        <f t="shared" ref="AI52:AI67" si="54">AH52/$AH$67</f>
        <v>3.6903945211781137E-3</v>
      </c>
      <c r="AJ52" s="3" t="s">
        <v>64</v>
      </c>
      <c r="AK52" s="4" t="s">
        <v>29</v>
      </c>
      <c r="AL52" s="58"/>
      <c r="AM52" s="503">
        <f>AL41*AM41</f>
        <v>4</v>
      </c>
      <c r="AN52" s="62">
        <f>'Standard Vorgaben'!$C$38</f>
        <v>32.700000000000003</v>
      </c>
      <c r="AO52" s="43">
        <f t="shared" ref="AO52:AO61" si="55">AM52*AN52</f>
        <v>130.80000000000001</v>
      </c>
      <c r="AP52" s="271">
        <f t="shared" ref="AP52:AP67" si="56">AO52/$AO$67</f>
        <v>4.4547720133818729E-3</v>
      </c>
      <c r="AQ52" s="3" t="s">
        <v>64</v>
      </c>
      <c r="AR52" s="4" t="s">
        <v>29</v>
      </c>
      <c r="AS52" s="58"/>
      <c r="AT52" s="503">
        <f>AS41*AT41</f>
        <v>4</v>
      </c>
      <c r="AU52" s="62">
        <f>'Standard Vorgaben'!$C$38</f>
        <v>32.700000000000003</v>
      </c>
      <c r="AV52" s="43">
        <f t="shared" ref="AV52:AV61" si="57">AT52*AU52</f>
        <v>130.80000000000001</v>
      </c>
      <c r="AW52" s="271">
        <f t="shared" ref="AW52:AW67" si="58">AV52/$AV$67</f>
        <v>4.4543709094038014E-3</v>
      </c>
      <c r="AX52" s="3" t="s">
        <v>64</v>
      </c>
      <c r="AY52" s="4" t="s">
        <v>29</v>
      </c>
      <c r="AZ52" s="58"/>
      <c r="BA52" s="503">
        <f>AZ41*BA41</f>
        <v>4</v>
      </c>
      <c r="BB52" s="62">
        <f>'Standard Vorgaben'!$C$38</f>
        <v>32.700000000000003</v>
      </c>
      <c r="BC52" s="43">
        <f t="shared" ref="BC52:BC61" si="59">BA52*BB52</f>
        <v>130.80000000000001</v>
      </c>
      <c r="BD52" s="271">
        <f t="shared" ref="BD52:BD67" si="60">BC52/$BC$67</f>
        <v>4.4539662686914486E-3</v>
      </c>
      <c r="BE52" s="3" t="s">
        <v>64</v>
      </c>
      <c r="BF52" s="4" t="s">
        <v>29</v>
      </c>
      <c r="BG52" s="58"/>
      <c r="BH52" s="503">
        <f>BG41*BH41</f>
        <v>4</v>
      </c>
      <c r="BI52" s="62">
        <f>'Standard Vorgaben'!$C$38</f>
        <v>32.700000000000003</v>
      </c>
      <c r="BJ52" s="43">
        <f t="shared" ref="BJ52:BJ61" si="61">BH52*BI52</f>
        <v>130.80000000000001</v>
      </c>
      <c r="BK52" s="271">
        <f t="shared" ref="BK52:BK67" si="62">BJ52/$BJ$67</f>
        <v>4.4535580607174526E-3</v>
      </c>
      <c r="BL52" s="3" t="s">
        <v>64</v>
      </c>
      <c r="BM52" s="4" t="s">
        <v>29</v>
      </c>
      <c r="BN52" s="58"/>
      <c r="BO52" s="503">
        <f>BN41*BO41</f>
        <v>4</v>
      </c>
      <c r="BP52" s="62">
        <f>'Standard Vorgaben'!$C$38</f>
        <v>32.700000000000003</v>
      </c>
      <c r="BQ52" s="43">
        <f t="shared" ref="BQ52:BQ61" si="63">BO52*BP52</f>
        <v>130.80000000000001</v>
      </c>
      <c r="BR52" s="271">
        <f t="shared" ref="BR52:BR67" si="64">BQ52/$BQ$67</f>
        <v>4.4531462547027284E-3</v>
      </c>
      <c r="BS52" s="3" t="s">
        <v>64</v>
      </c>
      <c r="BT52" s="4" t="s">
        <v>29</v>
      </c>
      <c r="BU52" s="58"/>
      <c r="BV52" s="503">
        <f>BU41*BV41</f>
        <v>4</v>
      </c>
      <c r="BW52" s="62">
        <f>'Standard Vorgaben'!$C$38</f>
        <v>32.700000000000003</v>
      </c>
      <c r="BX52" s="43">
        <f t="shared" ref="BX52:BX61" si="65">BV52*BW52</f>
        <v>130.80000000000001</v>
      </c>
      <c r="BY52" s="271">
        <f t="shared" ref="BY52:BY67" si="66">BX52/$BX$67</f>
        <v>4.4527308196145926E-3</v>
      </c>
      <c r="BZ52" s="3" t="s">
        <v>64</v>
      </c>
      <c r="CA52" s="4" t="s">
        <v>29</v>
      </c>
      <c r="CB52" s="58"/>
      <c r="CC52" s="503">
        <f>CB41*CC41</f>
        <v>4</v>
      </c>
      <c r="CD52" s="62">
        <f>'Standard Vorgaben'!$C$38</f>
        <v>32.700000000000003</v>
      </c>
      <c r="CE52" s="43">
        <f t="shared" ref="CE52:CE61" si="67">CC52*CD52</f>
        <v>130.80000000000001</v>
      </c>
      <c r="CF52" s="271">
        <f t="shared" ref="CF52:CF67" si="68">CE52/$CE$67</f>
        <v>4.4523117241649004E-3</v>
      </c>
      <c r="CG52" s="3" t="s">
        <v>64</v>
      </c>
      <c r="CH52" s="4" t="s">
        <v>29</v>
      </c>
      <c r="CI52" s="58"/>
      <c r="CJ52" s="503">
        <f>CI41*CJ41</f>
        <v>4</v>
      </c>
      <c r="CK52" s="62">
        <f>'Standard Vorgaben'!$C$38</f>
        <v>32.700000000000003</v>
      </c>
      <c r="CL52" s="43">
        <f t="shared" ref="CL52:CL61" si="69">CJ52*CK52</f>
        <v>130.80000000000001</v>
      </c>
      <c r="CM52" s="271">
        <f t="shared" ref="CM52:CM67" si="70">CL52/$CL$67</f>
        <v>4.4518889368081582E-3</v>
      </c>
      <c r="CN52" s="3" t="s">
        <v>64</v>
      </c>
      <c r="CO52" s="4" t="s">
        <v>29</v>
      </c>
      <c r="CP52" s="58"/>
      <c r="CQ52" s="503">
        <f>CP41*CQ41</f>
        <v>4</v>
      </c>
      <c r="CR52" s="62">
        <f>'Standard Vorgaben'!$C$38</f>
        <v>32.700000000000003</v>
      </c>
      <c r="CS52" s="43">
        <f t="shared" ref="CS52:CS61" si="71">CQ52*CR52</f>
        <v>130.80000000000001</v>
      </c>
      <c r="CT52" s="271">
        <f t="shared" ref="CT52:CT67" si="72">CS52/$CS$67</f>
        <v>4.4514624257396256E-3</v>
      </c>
      <c r="CU52" s="3" t="s">
        <v>64</v>
      </c>
      <c r="CV52" s="4" t="s">
        <v>29</v>
      </c>
      <c r="CW52" s="58"/>
      <c r="CX52" s="503">
        <f>CW41*CX41</f>
        <v>4</v>
      </c>
      <c r="CY52" s="62">
        <f>'Standard Vorgaben'!$C$38</f>
        <v>32.700000000000003</v>
      </c>
      <c r="CZ52" s="43">
        <f t="shared" ref="CZ52:CZ61" si="73">CX52*CY52</f>
        <v>130.80000000000001</v>
      </c>
      <c r="DA52" s="271">
        <f t="shared" ref="DA52:DA67" si="74">CZ52/$CZ$67</f>
        <v>4.4510321588934199E-3</v>
      </c>
      <c r="DB52" s="3" t="s">
        <v>64</v>
      </c>
      <c r="DC52" s="4" t="s">
        <v>29</v>
      </c>
      <c r="DD52" s="58"/>
      <c r="DE52" s="503">
        <f>DD41*DE41</f>
        <v>4</v>
      </c>
      <c r="DF52" s="62">
        <f>'Standard Vorgaben'!$C$38</f>
        <v>32.700000000000003</v>
      </c>
      <c r="DG52" s="43">
        <f t="shared" ref="DG52:DG60" si="75">DE52*DF52</f>
        <v>130.80000000000001</v>
      </c>
      <c r="DH52" s="271">
        <f t="shared" ref="DH52:DH67" si="76">DG52/$DG$67</f>
        <v>4.4505981039405958E-3</v>
      </c>
      <c r="DI52" s="3" t="s">
        <v>64</v>
      </c>
      <c r="DJ52" s="4" t="s">
        <v>29</v>
      </c>
      <c r="DK52" s="58"/>
      <c r="DL52" s="503">
        <f>DK41*DL41</f>
        <v>4</v>
      </c>
      <c r="DM52" s="62">
        <f>'Standard Vorgaben'!$C$38</f>
        <v>32.700000000000003</v>
      </c>
      <c r="DN52" s="43">
        <f t="shared" ref="DN52:DN60" si="77">DL52*DM52</f>
        <v>130.80000000000001</v>
      </c>
      <c r="DO52" s="271">
        <f t="shared" ref="DO52:DO67" si="78">DN52/$DN$67</f>
        <v>4.4501602282872267E-3</v>
      </c>
      <c r="DP52" s="3" t="s">
        <v>64</v>
      </c>
      <c r="DQ52" s="4" t="s">
        <v>29</v>
      </c>
      <c r="DR52" s="58"/>
      <c r="DS52" s="503">
        <f>DR41*DS41</f>
        <v>4</v>
      </c>
      <c r="DT52" s="62">
        <f>'Standard Vorgaben'!$C$38</f>
        <v>32.700000000000003</v>
      </c>
      <c r="DU52" s="43">
        <f t="shared" ref="DU52:DU60" si="79">DS52*DT52</f>
        <v>130.80000000000001</v>
      </c>
      <c r="DV52" s="271">
        <f t="shared" ref="DV52:DV67" si="80">DU52/$DU$67</f>
        <v>4.4497184990724718E-3</v>
      </c>
      <c r="DW52" s="3" t="s">
        <v>64</v>
      </c>
      <c r="DX52" s="4" t="s">
        <v>29</v>
      </c>
      <c r="DY52" s="58"/>
      <c r="DZ52" s="503">
        <f>DY41*DZ41</f>
        <v>4</v>
      </c>
      <c r="EA52" s="62">
        <f>'Standard Vorgaben'!$C$38</f>
        <v>32.700000000000003</v>
      </c>
      <c r="EB52" s="43">
        <f t="shared" ref="EB52:EB60" si="81">DZ52*EA52</f>
        <v>130.80000000000001</v>
      </c>
      <c r="EC52" s="271">
        <f t="shared" ref="EC52:EC67" si="82">EB52/$EB$67</f>
        <v>4.4492728831666307E-3</v>
      </c>
      <c r="ED52" s="3" t="s">
        <v>64</v>
      </c>
      <c r="EE52" s="4" t="s">
        <v>29</v>
      </c>
      <c r="EF52" s="58"/>
      <c r="EG52" s="503">
        <f>EF41*EG41</f>
        <v>4</v>
      </c>
      <c r="EH52" s="62">
        <f>'Standard Vorgaben'!$C$38</f>
        <v>32.700000000000003</v>
      </c>
      <c r="EI52" s="43">
        <f t="shared" ref="EI52:EI60" si="83">EG52*EH52</f>
        <v>130.80000000000001</v>
      </c>
      <c r="EJ52" s="271">
        <f t="shared" ref="EJ52:EJ67" si="84">EI52/$EI$67</f>
        <v>3.6948074847228439E-3</v>
      </c>
    </row>
    <row r="53" spans="1:140" s="1" customFormat="1" x14ac:dyDescent="0.2">
      <c r="A53" s="3"/>
      <c r="B53" s="4" t="s">
        <v>164</v>
      </c>
      <c r="D53" s="47">
        <f>((C39*D39)+(C40*D40))+'Standard Vorgaben'!$B$102+'Standard Vorgaben'!$C$102</f>
        <v>25</v>
      </c>
      <c r="E53" s="62">
        <f>'Standard Vorgaben'!$C$38</f>
        <v>32.700000000000003</v>
      </c>
      <c r="F53" s="43">
        <f t="shared" ref="F53:F61" si="85">D53*E53</f>
        <v>817.50000000000011</v>
      </c>
      <c r="G53" s="271">
        <f t="shared" si="48"/>
        <v>8.0511509420749527E-2</v>
      </c>
      <c r="H53" s="3"/>
      <c r="I53" s="4" t="s">
        <v>164</v>
      </c>
      <c r="K53" s="47">
        <f>((J39*K39)+(J40*K40))+'Standard Vorgaben'!$B$102+'Standard Vorgaben'!$C$102</f>
        <v>29</v>
      </c>
      <c r="L53" s="62">
        <f>'Standard Vorgaben'!$C$38</f>
        <v>32.700000000000003</v>
      </c>
      <c r="M53" s="43">
        <f t="shared" ref="M53:M61" si="86">K53*L53</f>
        <v>948.30000000000007</v>
      </c>
      <c r="N53" s="271">
        <f t="shared" si="49"/>
        <v>7.6202071447611819E-2</v>
      </c>
      <c r="O53" s="3"/>
      <c r="P53" s="4" t="s">
        <v>164</v>
      </c>
      <c r="R53" s="47">
        <f>((Q39*R39)+(Q40*R40))+'Standard Vorgaben'!$B$102+'Standard Vorgaben'!$C$102</f>
        <v>34</v>
      </c>
      <c r="S53" s="62">
        <f>'Standard Vorgaben'!$C$38</f>
        <v>32.700000000000003</v>
      </c>
      <c r="T53" s="43">
        <f t="shared" ref="T53:T61" si="87">R53*S53</f>
        <v>1111.8000000000002</v>
      </c>
      <c r="U53" s="271">
        <f t="shared" si="50"/>
        <v>6.0601158030677074E-2</v>
      </c>
      <c r="V53" s="3"/>
      <c r="W53" s="4" t="s">
        <v>164</v>
      </c>
      <c r="Y53" s="47">
        <f>((X39*Y39)+(X40*Y40))+'Standard Vorgaben'!$B$102+'Standard Vorgaben'!$C$102</f>
        <v>34</v>
      </c>
      <c r="Z53" s="62">
        <f>'Standard Vorgaben'!$C$38</f>
        <v>32.700000000000003</v>
      </c>
      <c r="AA53" s="43">
        <f t="shared" si="51"/>
        <v>1111.8000000000002</v>
      </c>
      <c r="AB53" s="271">
        <f t="shared" si="52"/>
        <v>5.4646692392943806E-2</v>
      </c>
      <c r="AC53" s="3"/>
      <c r="AD53" s="4" t="s">
        <v>164</v>
      </c>
      <c r="AF53" s="47">
        <f>((AE39*AF39)+(AE40*AF40))+'Standard Vorgaben'!$B$102+'Standard Vorgaben'!$C$102</f>
        <v>48</v>
      </c>
      <c r="AG53" s="62">
        <f>'Standard Vorgaben'!$C$38</f>
        <v>32.700000000000003</v>
      </c>
      <c r="AH53" s="43">
        <f t="shared" si="53"/>
        <v>1569.6000000000001</v>
      </c>
      <c r="AI53" s="271">
        <f t="shared" si="54"/>
        <v>5.904631233884982E-2</v>
      </c>
      <c r="AJ53" s="3"/>
      <c r="AK53" s="4" t="s">
        <v>164</v>
      </c>
      <c r="AM53" s="47">
        <f>((AL39*AM39)+(AL40*AM40))+'Standard Vorgaben'!$B$102+'Standard Vorgaben'!$C$102</f>
        <v>48</v>
      </c>
      <c r="AN53" s="62">
        <f>'Standard Vorgaben'!$C$38</f>
        <v>32.700000000000003</v>
      </c>
      <c r="AO53" s="43">
        <f t="shared" si="55"/>
        <v>1569.6000000000001</v>
      </c>
      <c r="AP53" s="271">
        <f t="shared" si="56"/>
        <v>5.3457264160582475E-2</v>
      </c>
      <c r="AQ53" s="3"/>
      <c r="AR53" s="4" t="s">
        <v>164</v>
      </c>
      <c r="AT53" s="47">
        <f>((AS39*AT39)+(AS40*AT40))+'Standard Vorgaben'!$B$102+'Standard Vorgaben'!$C$102</f>
        <v>48</v>
      </c>
      <c r="AU53" s="62">
        <f>'Standard Vorgaben'!$C$38</f>
        <v>32.700000000000003</v>
      </c>
      <c r="AV53" s="43">
        <f t="shared" si="57"/>
        <v>1569.6000000000001</v>
      </c>
      <c r="AW53" s="271">
        <f t="shared" si="58"/>
        <v>5.3452450912845617E-2</v>
      </c>
      <c r="AX53" s="3"/>
      <c r="AY53" s="4" t="s">
        <v>164</v>
      </c>
      <c r="BA53" s="47">
        <f>((AZ39*BA39)+(AZ40*BA40))+'Standard Vorgaben'!$B$102+'Standard Vorgaben'!$C$102</f>
        <v>48</v>
      </c>
      <c r="BB53" s="62">
        <f>'Standard Vorgaben'!$C$38</f>
        <v>32.700000000000003</v>
      </c>
      <c r="BC53" s="43">
        <f t="shared" si="59"/>
        <v>1569.6000000000001</v>
      </c>
      <c r="BD53" s="271">
        <f t="shared" si="60"/>
        <v>5.344759522429738E-2</v>
      </c>
      <c r="BE53" s="3"/>
      <c r="BF53" s="4" t="s">
        <v>164</v>
      </c>
      <c r="BH53" s="47">
        <f>((BG39*BH39)+(BG40*BH40))+'Standard Vorgaben'!$B$102+'Standard Vorgaben'!$C$102</f>
        <v>48</v>
      </c>
      <c r="BI53" s="62">
        <f>'Standard Vorgaben'!$C$38</f>
        <v>32.700000000000003</v>
      </c>
      <c r="BJ53" s="43">
        <f t="shared" si="61"/>
        <v>1569.6000000000001</v>
      </c>
      <c r="BK53" s="271">
        <f t="shared" si="62"/>
        <v>5.3442696728609435E-2</v>
      </c>
      <c r="BL53" s="3"/>
      <c r="BM53" s="4" t="s">
        <v>164</v>
      </c>
      <c r="BO53" s="47">
        <f>((BN39*BO39)+(BN40*BO40))+'Standard Vorgaben'!$B$102+'Standard Vorgaben'!$C$102</f>
        <v>48</v>
      </c>
      <c r="BP53" s="62">
        <f>'Standard Vorgaben'!$C$38</f>
        <v>32.700000000000003</v>
      </c>
      <c r="BQ53" s="43">
        <f t="shared" si="63"/>
        <v>1569.6000000000001</v>
      </c>
      <c r="BR53" s="271">
        <f t="shared" si="64"/>
        <v>5.3437755056432737E-2</v>
      </c>
      <c r="BS53" s="3"/>
      <c r="BT53" s="4" t="s">
        <v>164</v>
      </c>
      <c r="BV53" s="47">
        <f>((BU39*BV39)+(BU40*BV40))+'Standard Vorgaben'!$B$102+'Standard Vorgaben'!$C$102</f>
        <v>48</v>
      </c>
      <c r="BW53" s="62">
        <f>'Standard Vorgaben'!$C$38</f>
        <v>32.700000000000003</v>
      </c>
      <c r="BX53" s="43">
        <f t="shared" si="65"/>
        <v>1569.6000000000001</v>
      </c>
      <c r="BY53" s="271">
        <f t="shared" si="66"/>
        <v>5.3432769835375107E-2</v>
      </c>
      <c r="BZ53" s="3"/>
      <c r="CA53" s="4" t="s">
        <v>164</v>
      </c>
      <c r="CC53" s="47">
        <f>((CB39*CC39)+(CB40*CC40))+'Standard Vorgaben'!$B$102+'Standard Vorgaben'!$C$102</f>
        <v>48</v>
      </c>
      <c r="CD53" s="62">
        <f>'Standard Vorgaben'!$C$38</f>
        <v>32.700000000000003</v>
      </c>
      <c r="CE53" s="43">
        <f t="shared" si="67"/>
        <v>1569.6000000000001</v>
      </c>
      <c r="CF53" s="271">
        <f t="shared" si="68"/>
        <v>5.3427740689978805E-2</v>
      </c>
      <c r="CG53" s="3"/>
      <c r="CH53" s="4" t="s">
        <v>164</v>
      </c>
      <c r="CJ53" s="47">
        <f>((CI39*CJ39)+(CI40*CJ40))+'Standard Vorgaben'!$B$102+'Standard Vorgaben'!$C$102</f>
        <v>48</v>
      </c>
      <c r="CK53" s="62">
        <f>'Standard Vorgaben'!$C$38</f>
        <v>32.700000000000003</v>
      </c>
      <c r="CL53" s="43">
        <f t="shared" si="69"/>
        <v>1569.6000000000001</v>
      </c>
      <c r="CM53" s="271">
        <f t="shared" si="70"/>
        <v>5.3422667241697898E-2</v>
      </c>
      <c r="CN53" s="3"/>
      <c r="CO53" s="4" t="s">
        <v>164</v>
      </c>
      <c r="CQ53" s="47">
        <f>((CP39*CQ39)+(CP40*CQ40))+'Standard Vorgaben'!$B$102+'Standard Vorgaben'!$C$102</f>
        <v>48</v>
      </c>
      <c r="CR53" s="62">
        <f>'Standard Vorgaben'!$C$38</f>
        <v>32.700000000000003</v>
      </c>
      <c r="CS53" s="43">
        <f t="shared" si="71"/>
        <v>1569.6000000000001</v>
      </c>
      <c r="CT53" s="271">
        <f t="shared" si="72"/>
        <v>5.3417549108875508E-2</v>
      </c>
      <c r="CU53" s="3"/>
      <c r="CV53" s="4" t="s">
        <v>164</v>
      </c>
      <c r="CX53" s="47">
        <f>((CW39*CX39)+(CW40*CX40))+'Standard Vorgaben'!$B$102+'Standard Vorgaben'!$C$102</f>
        <v>48</v>
      </c>
      <c r="CY53" s="62">
        <f>'Standard Vorgaben'!$C$38</f>
        <v>32.700000000000003</v>
      </c>
      <c r="CZ53" s="43">
        <f t="shared" si="73"/>
        <v>1569.6000000000001</v>
      </c>
      <c r="DA53" s="271">
        <f t="shared" si="74"/>
        <v>5.3412385906721038E-2</v>
      </c>
      <c r="DB53" s="3"/>
      <c r="DC53" s="4" t="s">
        <v>164</v>
      </c>
      <c r="DE53" s="47">
        <f>((DD39*DE39)+(DD40*DE40))+'Standard Vorgaben'!$B$102+'Standard Vorgaben'!$C$102</f>
        <v>48</v>
      </c>
      <c r="DF53" s="62">
        <f>'Standard Vorgaben'!$C$38</f>
        <v>32.700000000000003</v>
      </c>
      <c r="DG53" s="43">
        <f t="shared" si="75"/>
        <v>1569.6000000000001</v>
      </c>
      <c r="DH53" s="271">
        <f t="shared" si="76"/>
        <v>5.3407177247287149E-2</v>
      </c>
      <c r="DI53" s="3"/>
      <c r="DJ53" s="4" t="s">
        <v>164</v>
      </c>
      <c r="DL53" s="47">
        <f>((DK39*DL39)+(DK40*DL40))+'Standard Vorgaben'!$B$102+'Standard Vorgaben'!$C$102</f>
        <v>48</v>
      </c>
      <c r="DM53" s="62">
        <f>'Standard Vorgaben'!$C$38</f>
        <v>32.700000000000003</v>
      </c>
      <c r="DN53" s="43">
        <f t="shared" si="77"/>
        <v>1569.6000000000001</v>
      </c>
      <c r="DO53" s="271">
        <f t="shared" si="78"/>
        <v>5.3401922739446724E-2</v>
      </c>
      <c r="DP53" s="3"/>
      <c r="DQ53" s="4" t="s">
        <v>164</v>
      </c>
      <c r="DS53" s="47">
        <f>((DR39*DS39)+(DR40*DS40))+'Standard Vorgaben'!$B$102+'Standard Vorgaben'!$C$102</f>
        <v>48</v>
      </c>
      <c r="DT53" s="62">
        <f>'Standard Vorgaben'!$C$38</f>
        <v>32.700000000000003</v>
      </c>
      <c r="DU53" s="43">
        <f t="shared" si="79"/>
        <v>1569.6000000000001</v>
      </c>
      <c r="DV53" s="271">
        <f t="shared" si="80"/>
        <v>5.3396621988869665E-2</v>
      </c>
      <c r="DW53" s="3"/>
      <c r="DX53" s="4" t="s">
        <v>164</v>
      </c>
      <c r="DZ53" s="47">
        <f>((DY39*DZ39)+(DY40*DZ40))+'Standard Vorgaben'!$B$102+'Standard Vorgaben'!$C$102</f>
        <v>48</v>
      </c>
      <c r="EA53" s="62">
        <f>'Standard Vorgaben'!$C$38</f>
        <v>32.700000000000003</v>
      </c>
      <c r="EB53" s="43">
        <f t="shared" si="81"/>
        <v>1569.6000000000001</v>
      </c>
      <c r="EC53" s="271">
        <f t="shared" si="82"/>
        <v>5.3391274597999569E-2</v>
      </c>
      <c r="ED53" s="3"/>
      <c r="EE53" s="4" t="s">
        <v>164</v>
      </c>
      <c r="EG53" s="47">
        <f>((EF39*EG39)+(EF40*EG40))+'Standard Vorgaben'!$B$102+'Standard Vorgaben'!$C$102</f>
        <v>48</v>
      </c>
      <c r="EH53" s="62">
        <f>'Standard Vorgaben'!$C$38</f>
        <v>32.700000000000003</v>
      </c>
      <c r="EI53" s="43">
        <f t="shared" si="83"/>
        <v>1569.6000000000001</v>
      </c>
      <c r="EJ53" s="271">
        <f t="shared" si="84"/>
        <v>4.4337689816674131E-2</v>
      </c>
    </row>
    <row r="54" spans="1:140" s="1" customFormat="1" x14ac:dyDescent="0.2">
      <c r="A54" s="3"/>
      <c r="B54" s="4" t="str">
        <f>'Standard Vorgaben'!$D$100</f>
        <v>Baumerziehung (Sommer+Winter)</v>
      </c>
      <c r="C54" s="46"/>
      <c r="D54" s="47">
        <f>'Standard Vorgaben'!$D$103</f>
        <v>50</v>
      </c>
      <c r="E54" s="62">
        <f>'Standard Vorgaben'!$C$38</f>
        <v>32.700000000000003</v>
      </c>
      <c r="F54" s="43">
        <f t="shared" si="85"/>
        <v>1635.0000000000002</v>
      </c>
      <c r="G54" s="271">
        <f t="shared" si="48"/>
        <v>0.16102301884149905</v>
      </c>
      <c r="H54" s="3"/>
      <c r="I54" s="4" t="str">
        <f>'Standard Vorgaben'!$D$100</f>
        <v>Baumerziehung (Sommer+Winter)</v>
      </c>
      <c r="J54" s="46"/>
      <c r="K54" s="47">
        <f>'Standard Vorgaben'!$D$104</f>
        <v>50</v>
      </c>
      <c r="L54" s="62">
        <f>'Standard Vorgaben'!$C$38</f>
        <v>32.700000000000003</v>
      </c>
      <c r="M54" s="43">
        <f t="shared" si="86"/>
        <v>1635.0000000000002</v>
      </c>
      <c r="N54" s="271">
        <f t="shared" si="49"/>
        <v>0.13138288180622729</v>
      </c>
      <c r="O54" s="3"/>
      <c r="P54" s="4" t="str">
        <f>'Standard Vorgaben'!$D$100</f>
        <v>Baumerziehung (Sommer+Winter)</v>
      </c>
      <c r="Q54" s="46"/>
      <c r="R54" s="47">
        <f>'Standard Vorgaben'!$D$102</f>
        <v>160</v>
      </c>
      <c r="S54" s="62">
        <f>'Standard Vorgaben'!$C$38</f>
        <v>32.700000000000003</v>
      </c>
      <c r="T54" s="43">
        <f t="shared" si="87"/>
        <v>5232</v>
      </c>
      <c r="U54" s="271">
        <f t="shared" si="50"/>
        <v>0.28518192014436267</v>
      </c>
      <c r="V54" s="3"/>
      <c r="W54" s="4" t="str">
        <f>'Standard Vorgaben'!$D$100</f>
        <v>Baumerziehung (Sommer+Winter)</v>
      </c>
      <c r="X54" s="46"/>
      <c r="Y54" s="47">
        <f>'Standard Vorgaben'!$D$102</f>
        <v>160</v>
      </c>
      <c r="Z54" s="62">
        <f>'Standard Vorgaben'!$C$38</f>
        <v>32.700000000000003</v>
      </c>
      <c r="AA54" s="43">
        <f t="shared" si="51"/>
        <v>5232</v>
      </c>
      <c r="AB54" s="271">
        <f t="shared" si="52"/>
        <v>0.25716090537855907</v>
      </c>
      <c r="AC54" s="3"/>
      <c r="AD54" s="4" t="str">
        <f>'Standard Vorgaben'!$D$100</f>
        <v>Baumerziehung (Sommer+Winter)</v>
      </c>
      <c r="AE54" s="46"/>
      <c r="AF54" s="47">
        <f>'Standard Vorgaben'!$D$102</f>
        <v>160</v>
      </c>
      <c r="AG54" s="62">
        <f>'Standard Vorgaben'!$C$38</f>
        <v>32.700000000000003</v>
      </c>
      <c r="AH54" s="43">
        <f t="shared" si="53"/>
        <v>5232</v>
      </c>
      <c r="AI54" s="271">
        <f t="shared" si="54"/>
        <v>0.19682104112949939</v>
      </c>
      <c r="AJ54" s="3"/>
      <c r="AK54" s="4" t="str">
        <f>'Standard Vorgaben'!$D$100</f>
        <v>Baumerziehung (Sommer+Winter)</v>
      </c>
      <c r="AL54" s="46"/>
      <c r="AM54" s="47">
        <f>'Standard Vorgaben'!$D$102</f>
        <v>160</v>
      </c>
      <c r="AN54" s="62">
        <f>'Standard Vorgaben'!$C$38</f>
        <v>32.700000000000003</v>
      </c>
      <c r="AO54" s="43">
        <f t="shared" si="55"/>
        <v>5232</v>
      </c>
      <c r="AP54" s="271">
        <f t="shared" si="56"/>
        <v>0.1781908805352749</v>
      </c>
      <c r="AQ54" s="3"/>
      <c r="AR54" s="4" t="str">
        <f>'Standard Vorgaben'!$D$100</f>
        <v>Baumerziehung (Sommer+Winter)</v>
      </c>
      <c r="AS54" s="46"/>
      <c r="AT54" s="47">
        <f>'Standard Vorgaben'!$D$102</f>
        <v>160</v>
      </c>
      <c r="AU54" s="62">
        <f>'Standard Vorgaben'!$C$38</f>
        <v>32.700000000000003</v>
      </c>
      <c r="AV54" s="43">
        <f t="shared" si="57"/>
        <v>5232</v>
      </c>
      <c r="AW54" s="271">
        <f t="shared" si="58"/>
        <v>0.17817483637615203</v>
      </c>
      <c r="AX54" s="3"/>
      <c r="AY54" s="4" t="str">
        <f>'Standard Vorgaben'!$D$100</f>
        <v>Baumerziehung (Sommer+Winter)</v>
      </c>
      <c r="AZ54" s="46"/>
      <c r="BA54" s="47">
        <f>'Standard Vorgaben'!$D$102</f>
        <v>160</v>
      </c>
      <c r="BB54" s="62">
        <f>'Standard Vorgaben'!$C$38</f>
        <v>32.700000000000003</v>
      </c>
      <c r="BC54" s="43">
        <f t="shared" si="59"/>
        <v>5232</v>
      </c>
      <c r="BD54" s="271">
        <f t="shared" si="60"/>
        <v>0.17815865074765791</v>
      </c>
      <c r="BE54" s="3"/>
      <c r="BF54" s="4" t="str">
        <f>'Standard Vorgaben'!$D$100</f>
        <v>Baumerziehung (Sommer+Winter)</v>
      </c>
      <c r="BG54" s="46"/>
      <c r="BH54" s="47">
        <f>'Standard Vorgaben'!$D$102</f>
        <v>160</v>
      </c>
      <c r="BI54" s="62">
        <f>'Standard Vorgaben'!$C$38</f>
        <v>32.700000000000003</v>
      </c>
      <c r="BJ54" s="43">
        <f t="shared" si="61"/>
        <v>5232</v>
      </c>
      <c r="BK54" s="271">
        <f t="shared" si="62"/>
        <v>0.1781423224286981</v>
      </c>
      <c r="BL54" s="3"/>
      <c r="BM54" s="4" t="str">
        <f>'Standard Vorgaben'!$D$100</f>
        <v>Baumerziehung (Sommer+Winter)</v>
      </c>
      <c r="BN54" s="46"/>
      <c r="BO54" s="47">
        <f>'Standard Vorgaben'!$D$102</f>
        <v>160</v>
      </c>
      <c r="BP54" s="62">
        <f>'Standard Vorgaben'!$C$38</f>
        <v>32.700000000000003</v>
      </c>
      <c r="BQ54" s="43">
        <f t="shared" si="63"/>
        <v>5232</v>
      </c>
      <c r="BR54" s="271">
        <f t="shared" si="64"/>
        <v>0.17812585018810911</v>
      </c>
      <c r="BS54" s="3"/>
      <c r="BT54" s="4" t="str">
        <f>'Standard Vorgaben'!$D$100</f>
        <v>Baumerziehung (Sommer+Winter)</v>
      </c>
      <c r="BU54" s="46"/>
      <c r="BV54" s="47">
        <f>'Standard Vorgaben'!$D$102</f>
        <v>160</v>
      </c>
      <c r="BW54" s="62">
        <f>'Standard Vorgaben'!$C$38</f>
        <v>32.700000000000003</v>
      </c>
      <c r="BX54" s="43">
        <f t="shared" si="65"/>
        <v>5232</v>
      </c>
      <c r="BY54" s="271">
        <f t="shared" si="66"/>
        <v>0.17810923278458368</v>
      </c>
      <c r="BZ54" s="3"/>
      <c r="CA54" s="4" t="str">
        <f>'Standard Vorgaben'!$D$100</f>
        <v>Baumerziehung (Sommer+Winter)</v>
      </c>
      <c r="CB54" s="46"/>
      <c r="CC54" s="47">
        <f>'Standard Vorgaben'!$D$102</f>
        <v>160</v>
      </c>
      <c r="CD54" s="62">
        <f>'Standard Vorgaben'!$C$38</f>
        <v>32.700000000000003</v>
      </c>
      <c r="CE54" s="43">
        <f t="shared" si="67"/>
        <v>5232</v>
      </c>
      <c r="CF54" s="271">
        <f t="shared" si="68"/>
        <v>0.178092468966596</v>
      </c>
      <c r="CG54" s="3"/>
      <c r="CH54" s="4" t="str">
        <f>'Standard Vorgaben'!$D$100</f>
        <v>Baumerziehung (Sommer+Winter)</v>
      </c>
      <c r="CI54" s="46"/>
      <c r="CJ54" s="47">
        <f>'Standard Vorgaben'!$D$102</f>
        <v>160</v>
      </c>
      <c r="CK54" s="62">
        <f>'Standard Vorgaben'!$C$38</f>
        <v>32.700000000000003</v>
      </c>
      <c r="CL54" s="43">
        <f t="shared" si="69"/>
        <v>5232</v>
      </c>
      <c r="CM54" s="271">
        <f t="shared" si="70"/>
        <v>0.17807555747232631</v>
      </c>
      <c r="CN54" s="3"/>
      <c r="CO54" s="4" t="str">
        <f>'Standard Vorgaben'!$D$100</f>
        <v>Baumerziehung (Sommer+Winter)</v>
      </c>
      <c r="CP54" s="46"/>
      <c r="CQ54" s="47">
        <f>'Standard Vorgaben'!$D$102</f>
        <v>160</v>
      </c>
      <c r="CR54" s="62">
        <f>'Standard Vorgaben'!$C$38</f>
        <v>32.700000000000003</v>
      </c>
      <c r="CS54" s="43">
        <f t="shared" si="71"/>
        <v>5232</v>
      </c>
      <c r="CT54" s="271">
        <f t="shared" si="72"/>
        <v>0.17805849702958501</v>
      </c>
      <c r="CU54" s="3"/>
      <c r="CV54" s="4" t="str">
        <f>'Standard Vorgaben'!$D$100</f>
        <v>Baumerziehung (Sommer+Winter)</v>
      </c>
      <c r="CW54" s="46"/>
      <c r="CX54" s="47">
        <f>'Standard Vorgaben'!$D$102</f>
        <v>160</v>
      </c>
      <c r="CY54" s="62">
        <f>'Standard Vorgaben'!$C$38</f>
        <v>32.700000000000003</v>
      </c>
      <c r="CZ54" s="43">
        <f t="shared" si="73"/>
        <v>5232</v>
      </c>
      <c r="DA54" s="271">
        <f t="shared" si="74"/>
        <v>0.17804128635573677</v>
      </c>
      <c r="DB54" s="3"/>
      <c r="DC54" s="4" t="str">
        <f>'Standard Vorgaben'!$D$100</f>
        <v>Baumerziehung (Sommer+Winter)</v>
      </c>
      <c r="DD54" s="46"/>
      <c r="DE54" s="47">
        <f>'Standard Vorgaben'!$D$102</f>
        <v>160</v>
      </c>
      <c r="DF54" s="62">
        <f>'Standard Vorgaben'!$C$38</f>
        <v>32.700000000000003</v>
      </c>
      <c r="DG54" s="43">
        <f t="shared" si="75"/>
        <v>5232</v>
      </c>
      <c r="DH54" s="271">
        <f t="shared" si="76"/>
        <v>0.1780239241576238</v>
      </c>
      <c r="DI54" s="3"/>
      <c r="DJ54" s="4" t="str">
        <f>'Standard Vorgaben'!$D$100</f>
        <v>Baumerziehung (Sommer+Winter)</v>
      </c>
      <c r="DK54" s="46"/>
      <c r="DL54" s="47">
        <f>'Standard Vorgaben'!$D$102</f>
        <v>160</v>
      </c>
      <c r="DM54" s="62">
        <f>'Standard Vorgaben'!$C$38</f>
        <v>32.700000000000003</v>
      </c>
      <c r="DN54" s="43">
        <f t="shared" si="77"/>
        <v>5232</v>
      </c>
      <c r="DO54" s="271">
        <f t="shared" si="78"/>
        <v>0.17800640913148907</v>
      </c>
      <c r="DP54" s="3"/>
      <c r="DQ54" s="4" t="str">
        <f>'Standard Vorgaben'!$D$100</f>
        <v>Baumerziehung (Sommer+Winter)</v>
      </c>
      <c r="DR54" s="46"/>
      <c r="DS54" s="47">
        <f>'Standard Vorgaben'!$D$102</f>
        <v>160</v>
      </c>
      <c r="DT54" s="62">
        <f>'Standard Vorgaben'!$C$38</f>
        <v>32.700000000000003</v>
      </c>
      <c r="DU54" s="43">
        <f t="shared" si="79"/>
        <v>5232</v>
      </c>
      <c r="DV54" s="271">
        <f t="shared" si="80"/>
        <v>0.17798873996289885</v>
      </c>
      <c r="DW54" s="3"/>
      <c r="DX54" s="4" t="str">
        <f>'Standard Vorgaben'!$D$100</f>
        <v>Baumerziehung (Sommer+Winter)</v>
      </c>
      <c r="DY54" s="46"/>
      <c r="DZ54" s="47">
        <f>'Standard Vorgaben'!$D$102</f>
        <v>160</v>
      </c>
      <c r="EA54" s="62">
        <f>'Standard Vorgaben'!$C$38</f>
        <v>32.700000000000003</v>
      </c>
      <c r="EB54" s="43">
        <f t="shared" si="81"/>
        <v>5232</v>
      </c>
      <c r="EC54" s="271">
        <f t="shared" si="82"/>
        <v>0.17797091532666523</v>
      </c>
      <c r="ED54" s="3"/>
      <c r="EE54" s="4" t="str">
        <f>'Standard Vorgaben'!$D$100</f>
        <v>Baumerziehung (Sommer+Winter)</v>
      </c>
      <c r="EF54" s="46"/>
      <c r="EG54" s="47">
        <f>'Standard Vorgaben'!$D$102</f>
        <v>160</v>
      </c>
      <c r="EH54" s="62">
        <f>'Standard Vorgaben'!$C$38</f>
        <v>32.700000000000003</v>
      </c>
      <c r="EI54" s="43">
        <f t="shared" si="83"/>
        <v>5232</v>
      </c>
      <c r="EJ54" s="271">
        <f t="shared" si="84"/>
        <v>0.14779229938891375</v>
      </c>
    </row>
    <row r="55" spans="1:140" s="1" customFormat="1" x14ac:dyDescent="0.2">
      <c r="A55" s="3"/>
      <c r="B55" s="4" t="s">
        <v>100</v>
      </c>
      <c r="C55" s="46"/>
      <c r="D55" s="629">
        <f>(C44*D44)+(C45*D45)</f>
        <v>7</v>
      </c>
      <c r="E55" s="62">
        <f>'Standard Vorgaben'!$C$38</f>
        <v>32.700000000000003</v>
      </c>
      <c r="F55" s="43">
        <f t="shared" si="85"/>
        <v>228.90000000000003</v>
      </c>
      <c r="G55" s="271">
        <f t="shared" si="48"/>
        <v>2.2543222637809869E-2</v>
      </c>
      <c r="H55" s="46"/>
      <c r="I55" s="4" t="s">
        <v>100</v>
      </c>
      <c r="J55" s="46"/>
      <c r="K55" s="629">
        <f>(J44*K44)+(J45*K45)</f>
        <v>7</v>
      </c>
      <c r="L55" s="62">
        <f>'Standard Vorgaben'!$C$38</f>
        <v>32.700000000000003</v>
      </c>
      <c r="M55" s="43">
        <f t="shared" si="86"/>
        <v>228.90000000000003</v>
      </c>
      <c r="N55" s="271">
        <f t="shared" si="49"/>
        <v>1.8393603452871821E-2</v>
      </c>
      <c r="O55" s="3"/>
      <c r="P55" s="4" t="s">
        <v>100</v>
      </c>
      <c r="Q55" s="46"/>
      <c r="R55" s="629">
        <f>(Q44*R44)+(Q45*R45)</f>
        <v>7</v>
      </c>
      <c r="S55" s="62">
        <f>'Standard Vorgaben'!$C$38</f>
        <v>32.700000000000003</v>
      </c>
      <c r="T55" s="43">
        <f t="shared" si="87"/>
        <v>228.90000000000003</v>
      </c>
      <c r="U55" s="271">
        <f t="shared" si="50"/>
        <v>1.2476709006315867E-2</v>
      </c>
      <c r="V55" s="3"/>
      <c r="W55" s="4" t="s">
        <v>100</v>
      </c>
      <c r="X55" s="46"/>
      <c r="Y55" s="629">
        <f>(X44*Y44)+(X45*Y45)</f>
        <v>9</v>
      </c>
      <c r="Z55" s="62">
        <f>'Standard Vorgaben'!$C$38</f>
        <v>32.700000000000003</v>
      </c>
      <c r="AA55" s="43">
        <f t="shared" si="51"/>
        <v>294.3</v>
      </c>
      <c r="AB55" s="271">
        <f t="shared" si="52"/>
        <v>1.4465300927543948E-2</v>
      </c>
      <c r="AC55" s="3"/>
      <c r="AD55" s="4" t="s">
        <v>100</v>
      </c>
      <c r="AE55" s="46"/>
      <c r="AF55" s="629">
        <f>(AE44*AF44)+(AE45*AF45)</f>
        <v>9</v>
      </c>
      <c r="AG55" s="62">
        <f>'Standard Vorgaben'!$C$38</f>
        <v>32.700000000000003</v>
      </c>
      <c r="AH55" s="43">
        <f t="shared" si="53"/>
        <v>294.3</v>
      </c>
      <c r="AI55" s="271">
        <f t="shared" si="54"/>
        <v>1.1071183563534341E-2</v>
      </c>
      <c r="AJ55" s="3"/>
      <c r="AK55" s="4" t="s">
        <v>100</v>
      </c>
      <c r="AL55" s="46"/>
      <c r="AM55" s="629">
        <f>(AL44*AM44)+(AL45*AM45)</f>
        <v>9</v>
      </c>
      <c r="AN55" s="62">
        <f>'Standard Vorgaben'!$C$38</f>
        <v>32.700000000000003</v>
      </c>
      <c r="AO55" s="43">
        <f t="shared" si="55"/>
        <v>294.3</v>
      </c>
      <c r="AP55" s="271">
        <f t="shared" si="56"/>
        <v>1.0023237030109213E-2</v>
      </c>
      <c r="AQ55" s="3"/>
      <c r="AR55" s="4" t="s">
        <v>100</v>
      </c>
      <c r="AS55" s="46"/>
      <c r="AT55" s="629">
        <f>(AS44*AT44)+(AS45*AT45)</f>
        <v>9</v>
      </c>
      <c r="AU55" s="62">
        <f>'Standard Vorgaben'!$C$38</f>
        <v>32.700000000000003</v>
      </c>
      <c r="AV55" s="43">
        <f t="shared" si="57"/>
        <v>294.3</v>
      </c>
      <c r="AW55" s="271">
        <f t="shared" si="58"/>
        <v>1.0022334546158551E-2</v>
      </c>
      <c r="AX55" s="3"/>
      <c r="AY55" s="4" t="s">
        <v>100</v>
      </c>
      <c r="AZ55" s="46"/>
      <c r="BA55" s="629">
        <f>(AZ44*BA44)+(AZ45*BA45)</f>
        <v>9</v>
      </c>
      <c r="BB55" s="62">
        <f>'Standard Vorgaben'!$C$38</f>
        <v>32.700000000000003</v>
      </c>
      <c r="BC55" s="43">
        <f t="shared" si="59"/>
        <v>294.3</v>
      </c>
      <c r="BD55" s="271">
        <f t="shared" si="60"/>
        <v>1.0021424104555757E-2</v>
      </c>
      <c r="BE55" s="3"/>
      <c r="BF55" s="4" t="s">
        <v>100</v>
      </c>
      <c r="BG55" s="46"/>
      <c r="BH55" s="629">
        <f>(BG44*BH44)+(BG45*BH45)</f>
        <v>9</v>
      </c>
      <c r="BI55" s="62">
        <f>'Standard Vorgaben'!$C$38</f>
        <v>32.700000000000003</v>
      </c>
      <c r="BJ55" s="43">
        <f t="shared" si="61"/>
        <v>294.3</v>
      </c>
      <c r="BK55" s="271">
        <f t="shared" si="62"/>
        <v>1.0020505636614269E-2</v>
      </c>
      <c r="BL55" s="3"/>
      <c r="BM55" s="4" t="s">
        <v>100</v>
      </c>
      <c r="BN55" s="46"/>
      <c r="BO55" s="629">
        <f>(BN44*BO44)+(BN45*BO45)</f>
        <v>9</v>
      </c>
      <c r="BP55" s="62">
        <f>'Standard Vorgaben'!$C$38</f>
        <v>32.700000000000003</v>
      </c>
      <c r="BQ55" s="43">
        <f t="shared" si="63"/>
        <v>294.3</v>
      </c>
      <c r="BR55" s="271">
        <f t="shared" si="64"/>
        <v>1.0019579073081137E-2</v>
      </c>
      <c r="BS55" s="3"/>
      <c r="BT55" s="4" t="s">
        <v>100</v>
      </c>
      <c r="BU55" s="46"/>
      <c r="BV55" s="629">
        <f>(BU44*BV44)+(BU45*BV45)</f>
        <v>9</v>
      </c>
      <c r="BW55" s="62">
        <f>'Standard Vorgaben'!$C$38</f>
        <v>32.700000000000003</v>
      </c>
      <c r="BX55" s="43">
        <f t="shared" si="65"/>
        <v>294.3</v>
      </c>
      <c r="BY55" s="271">
        <f t="shared" si="66"/>
        <v>1.0018644344132832E-2</v>
      </c>
      <c r="BZ55" s="3"/>
      <c r="CA55" s="4" t="s">
        <v>100</v>
      </c>
      <c r="CB55" s="46"/>
      <c r="CC55" s="629">
        <f>(CB44*CC44)+(CB45*CC45)</f>
        <v>9</v>
      </c>
      <c r="CD55" s="62">
        <f>'Standard Vorgaben'!$C$38</f>
        <v>32.700000000000003</v>
      </c>
      <c r="CE55" s="43">
        <f t="shared" si="67"/>
        <v>294.3</v>
      </c>
      <c r="CF55" s="271">
        <f t="shared" si="68"/>
        <v>1.0017701379371026E-2</v>
      </c>
      <c r="CG55" s="3"/>
      <c r="CH55" s="4" t="s">
        <v>100</v>
      </c>
      <c r="CI55" s="46"/>
      <c r="CJ55" s="629">
        <f>(CI44*CJ44)+(CI45*CJ45)</f>
        <v>9</v>
      </c>
      <c r="CK55" s="62">
        <f>'Standard Vorgaben'!$C$38</f>
        <v>32.700000000000003</v>
      </c>
      <c r="CL55" s="43">
        <f t="shared" si="69"/>
        <v>294.3</v>
      </c>
      <c r="CM55" s="271">
        <f t="shared" si="70"/>
        <v>1.0016750107818355E-2</v>
      </c>
      <c r="CN55" s="3"/>
      <c r="CO55" s="4" t="s">
        <v>100</v>
      </c>
      <c r="CP55" s="46"/>
      <c r="CQ55" s="629">
        <f>(CP44*CQ44)+(CP45*CQ45)</f>
        <v>9</v>
      </c>
      <c r="CR55" s="62">
        <f>'Standard Vorgaben'!$C$38</f>
        <v>32.700000000000003</v>
      </c>
      <c r="CS55" s="43">
        <f t="shared" si="71"/>
        <v>294.3</v>
      </c>
      <c r="CT55" s="271">
        <f t="shared" si="72"/>
        <v>1.0015790457914158E-2</v>
      </c>
      <c r="CU55" s="3"/>
      <c r="CV55" s="4" t="s">
        <v>100</v>
      </c>
      <c r="CW55" s="46"/>
      <c r="CX55" s="629">
        <f>(CW44*CX44)+(CW45*CX45)</f>
        <v>9</v>
      </c>
      <c r="CY55" s="62">
        <f>'Standard Vorgaben'!$C$38</f>
        <v>32.700000000000003</v>
      </c>
      <c r="CZ55" s="43">
        <f t="shared" si="73"/>
        <v>294.3</v>
      </c>
      <c r="DA55" s="271">
        <f t="shared" si="74"/>
        <v>1.0014822357510195E-2</v>
      </c>
      <c r="DB55" s="3"/>
      <c r="DC55" s="4" t="s">
        <v>100</v>
      </c>
      <c r="DD55" s="46"/>
      <c r="DE55" s="629">
        <f>(DD44*DE44)+(DD45*DE45)</f>
        <v>9</v>
      </c>
      <c r="DF55" s="62">
        <f>'Standard Vorgaben'!$C$38</f>
        <v>32.700000000000003</v>
      </c>
      <c r="DG55" s="43">
        <f t="shared" si="75"/>
        <v>294.3</v>
      </c>
      <c r="DH55" s="271">
        <f t="shared" si="76"/>
        <v>1.001384573386634E-2</v>
      </c>
      <c r="DI55" s="3"/>
      <c r="DJ55" s="4" t="s">
        <v>100</v>
      </c>
      <c r="DK55" s="46"/>
      <c r="DL55" s="629">
        <f>(DK44*DL44)+(DK45*DL45)</f>
        <v>9</v>
      </c>
      <c r="DM55" s="62">
        <f>'Standard Vorgaben'!$C$38</f>
        <v>32.700000000000003</v>
      </c>
      <c r="DN55" s="43">
        <f t="shared" si="77"/>
        <v>294.3</v>
      </c>
      <c r="DO55" s="271">
        <f t="shared" si="78"/>
        <v>1.0012860513646259E-2</v>
      </c>
      <c r="DP55" s="3"/>
      <c r="DQ55" s="4" t="s">
        <v>100</v>
      </c>
      <c r="DR55" s="46"/>
      <c r="DS55" s="629">
        <f>(DR44*DS44)+(DR45*DS45)</f>
        <v>9</v>
      </c>
      <c r="DT55" s="62">
        <f>'Standard Vorgaben'!$C$38</f>
        <v>32.700000000000003</v>
      </c>
      <c r="DU55" s="43">
        <f t="shared" si="79"/>
        <v>294.3</v>
      </c>
      <c r="DV55" s="271">
        <f t="shared" si="80"/>
        <v>1.0011866622913061E-2</v>
      </c>
      <c r="DW55" s="3"/>
      <c r="DX55" s="4" t="s">
        <v>100</v>
      </c>
      <c r="DY55" s="46"/>
      <c r="DZ55" s="629">
        <f>(DY44*DZ44)+(DY45*DZ45)</f>
        <v>9</v>
      </c>
      <c r="EA55" s="62">
        <f>'Standard Vorgaben'!$C$38</f>
        <v>32.700000000000003</v>
      </c>
      <c r="EB55" s="43">
        <f t="shared" si="81"/>
        <v>294.3</v>
      </c>
      <c r="EC55" s="271">
        <f t="shared" si="82"/>
        <v>1.0010863987124918E-2</v>
      </c>
      <c r="ED55" s="3"/>
      <c r="EE55" s="4" t="s">
        <v>100</v>
      </c>
      <c r="EF55" s="46"/>
      <c r="EG55" s="629">
        <f>(EF44*EG44)+(EF45*EG45)</f>
        <v>9</v>
      </c>
      <c r="EH55" s="62">
        <f>'Standard Vorgaben'!$C$38</f>
        <v>32.700000000000003</v>
      </c>
      <c r="EI55" s="43">
        <f t="shared" si="83"/>
        <v>294.3</v>
      </c>
      <c r="EJ55" s="271">
        <f t="shared" si="84"/>
        <v>8.3133168406263995E-3</v>
      </c>
    </row>
    <row r="56" spans="1:140" s="1" customFormat="1" x14ac:dyDescent="0.2">
      <c r="A56" s="3"/>
      <c r="B56" s="1035" t="str">
        <f>'Standard Vorgaben'!$E$100</f>
        <v>Behangsregulierung (von Hand)</v>
      </c>
      <c r="D56" s="47">
        <f>'Standard Vorgaben'!$E$103</f>
        <v>0</v>
      </c>
      <c r="E56" s="62">
        <f>'Standard Vorgaben'!$C$37</f>
        <v>23.18</v>
      </c>
      <c r="F56" s="43">
        <f t="shared" si="85"/>
        <v>0</v>
      </c>
      <c r="G56" s="271">
        <f t="shared" si="48"/>
        <v>0</v>
      </c>
      <c r="H56" s="3"/>
      <c r="I56" s="1035" t="str">
        <f>'Standard Vorgaben'!$E$100</f>
        <v>Behangsregulierung (von Hand)</v>
      </c>
      <c r="K56" s="47">
        <f>'Standard Vorgaben'!E104</f>
        <v>20</v>
      </c>
      <c r="L56" s="62">
        <f>'Standard Vorgaben'!$C$37</f>
        <v>23.18</v>
      </c>
      <c r="M56" s="43">
        <f t="shared" si="86"/>
        <v>463.6</v>
      </c>
      <c r="N56" s="271">
        <f t="shared" si="49"/>
        <v>3.7253274621019551E-2</v>
      </c>
      <c r="O56" s="3"/>
      <c r="P56" s="1035" t="str">
        <f>'Standard Vorgaben'!$E$100</f>
        <v>Behangsregulierung (von Hand)</v>
      </c>
      <c r="R56" s="47">
        <f>'Standard Vorgaben'!$E$102</f>
        <v>40</v>
      </c>
      <c r="S56" s="62">
        <f>'Standard Vorgaben'!$C$37</f>
        <v>23.18</v>
      </c>
      <c r="T56" s="43">
        <f t="shared" si="87"/>
        <v>927.2</v>
      </c>
      <c r="U56" s="271">
        <f t="shared" si="50"/>
        <v>5.0539120098978027E-2</v>
      </c>
      <c r="V56" s="3"/>
      <c r="W56" s="1035" t="str">
        <f>'Standard Vorgaben'!$E$100</f>
        <v>Behangsregulierung (von Hand)</v>
      </c>
      <c r="Y56" s="47">
        <f>'Standard Vorgaben'!$E$102</f>
        <v>40</v>
      </c>
      <c r="Z56" s="62">
        <f>'Standard Vorgaben'!$C$37</f>
        <v>23.18</v>
      </c>
      <c r="AA56" s="43">
        <f t="shared" si="51"/>
        <v>927.2</v>
      </c>
      <c r="AB56" s="271">
        <f t="shared" si="52"/>
        <v>4.5573316411888373E-2</v>
      </c>
      <c r="AC56" s="3"/>
      <c r="AD56" s="1035" t="str">
        <f>'Standard Vorgaben'!$E$100</f>
        <v>Behangsregulierung (von Hand)</v>
      </c>
      <c r="AF56" s="47">
        <f>'Standard Vorgaben'!$E$102</f>
        <v>40</v>
      </c>
      <c r="AG56" s="62">
        <f>'Standard Vorgaben'!$C$37</f>
        <v>23.18</v>
      </c>
      <c r="AH56" s="43">
        <f t="shared" si="53"/>
        <v>927.2</v>
      </c>
      <c r="AI56" s="271">
        <f t="shared" si="54"/>
        <v>3.4880059123714037E-2</v>
      </c>
      <c r="AJ56" s="3"/>
      <c r="AK56" s="1035" t="str">
        <f>'Standard Vorgaben'!$E$100</f>
        <v>Behangsregulierung (von Hand)</v>
      </c>
      <c r="AM56" s="47">
        <f>'Standard Vorgaben'!$E$102</f>
        <v>40</v>
      </c>
      <c r="AN56" s="62">
        <f>'Standard Vorgaben'!$C$37</f>
        <v>23.18</v>
      </c>
      <c r="AO56" s="43">
        <f t="shared" si="55"/>
        <v>927.2</v>
      </c>
      <c r="AP56" s="271">
        <f t="shared" si="56"/>
        <v>3.1578475617795657E-2</v>
      </c>
      <c r="AQ56" s="3"/>
      <c r="AR56" s="1035" t="str">
        <f>'Standard Vorgaben'!$E$100</f>
        <v>Behangsregulierung (von Hand)</v>
      </c>
      <c r="AT56" s="47">
        <f>'Standard Vorgaben'!$E$102</f>
        <v>40</v>
      </c>
      <c r="AU56" s="62">
        <f>'Standard Vorgaben'!$C$37</f>
        <v>23.18</v>
      </c>
      <c r="AV56" s="43">
        <f t="shared" si="57"/>
        <v>927.2</v>
      </c>
      <c r="AW56" s="271">
        <f t="shared" si="58"/>
        <v>3.1575632318036728E-2</v>
      </c>
      <c r="AX56" s="3"/>
      <c r="AY56" s="1035" t="str">
        <f>'Standard Vorgaben'!$E$100</f>
        <v>Behangsregulierung (von Hand)</v>
      </c>
      <c r="BA56" s="47">
        <f>'Standard Vorgaben'!$E$102</f>
        <v>40</v>
      </c>
      <c r="BB56" s="62">
        <f>'Standard Vorgaben'!$C$37</f>
        <v>23.18</v>
      </c>
      <c r="BC56" s="43">
        <f t="shared" si="59"/>
        <v>927.2</v>
      </c>
      <c r="BD56" s="271">
        <f t="shared" si="60"/>
        <v>3.1572763947482499E-2</v>
      </c>
      <c r="BE56" s="3"/>
      <c r="BF56" s="1035" t="str">
        <f>'Standard Vorgaben'!$E$100</f>
        <v>Behangsregulierung (von Hand)</v>
      </c>
      <c r="BH56" s="47">
        <f>'Standard Vorgaben'!$E$102</f>
        <v>40</v>
      </c>
      <c r="BI56" s="62">
        <f>'Standard Vorgaben'!$C$37</f>
        <v>23.18</v>
      </c>
      <c r="BJ56" s="43">
        <f t="shared" si="61"/>
        <v>927.2</v>
      </c>
      <c r="BK56" s="271">
        <f t="shared" si="62"/>
        <v>3.1569870289734119E-2</v>
      </c>
      <c r="BL56" s="3"/>
      <c r="BM56" s="1035" t="str">
        <f>'Standard Vorgaben'!$E$100</f>
        <v>Behangsregulierung (von Hand)</v>
      </c>
      <c r="BO56" s="47">
        <f>'Standard Vorgaben'!$E$102</f>
        <v>40</v>
      </c>
      <c r="BP56" s="62">
        <f>'Standard Vorgaben'!$C$37</f>
        <v>23.18</v>
      </c>
      <c r="BQ56" s="43">
        <f t="shared" si="63"/>
        <v>927.2</v>
      </c>
      <c r="BR56" s="271">
        <f t="shared" si="64"/>
        <v>3.1566951126608331E-2</v>
      </c>
      <c r="BS56" s="3"/>
      <c r="BT56" s="1035" t="str">
        <f>'Standard Vorgaben'!$E$100</f>
        <v>Behangsregulierung (von Hand)</v>
      </c>
      <c r="BV56" s="47">
        <f>'Standard Vorgaben'!$E$102</f>
        <v>40</v>
      </c>
      <c r="BW56" s="62">
        <f>'Standard Vorgaben'!$C$37</f>
        <v>23.18</v>
      </c>
      <c r="BX56" s="43">
        <f t="shared" si="65"/>
        <v>927.2</v>
      </c>
      <c r="BY56" s="271">
        <f t="shared" si="66"/>
        <v>3.1564006238124234E-2</v>
      </c>
      <c r="BZ56" s="3"/>
      <c r="CA56" s="1035" t="str">
        <f>'Standard Vorgaben'!$E$100</f>
        <v>Behangsregulierung (von Hand)</v>
      </c>
      <c r="CC56" s="47">
        <f>'Standard Vorgaben'!$E$102</f>
        <v>40</v>
      </c>
      <c r="CD56" s="62">
        <f>'Standard Vorgaben'!$C$37</f>
        <v>23.18</v>
      </c>
      <c r="CE56" s="43">
        <f t="shared" si="67"/>
        <v>927.2</v>
      </c>
      <c r="CF56" s="271">
        <f t="shared" si="68"/>
        <v>3.1561035402490029E-2</v>
      </c>
      <c r="CG56" s="3"/>
      <c r="CH56" s="1035" t="str">
        <f>'Standard Vorgaben'!$E$100</f>
        <v>Behangsregulierung (von Hand)</v>
      </c>
      <c r="CJ56" s="47">
        <f>'Standard Vorgaben'!$E$102</f>
        <v>40</v>
      </c>
      <c r="CK56" s="62">
        <f>'Standard Vorgaben'!$C$37</f>
        <v>23.18</v>
      </c>
      <c r="CL56" s="43">
        <f t="shared" si="69"/>
        <v>927.2</v>
      </c>
      <c r="CM56" s="271">
        <f t="shared" si="70"/>
        <v>3.155803839608963E-2</v>
      </c>
      <c r="CN56" s="3"/>
      <c r="CO56" s="1035" t="str">
        <f>'Standard Vorgaben'!$E$100</f>
        <v>Behangsregulierung (von Hand)</v>
      </c>
      <c r="CQ56" s="47">
        <f>'Standard Vorgaben'!$E$102</f>
        <v>40</v>
      </c>
      <c r="CR56" s="62">
        <f>'Standard Vorgaben'!$C$37</f>
        <v>23.18</v>
      </c>
      <c r="CS56" s="43">
        <f t="shared" si="71"/>
        <v>927.2</v>
      </c>
      <c r="CT56" s="271">
        <f t="shared" si="72"/>
        <v>3.1555014993469271E-2</v>
      </c>
      <c r="CU56" s="3"/>
      <c r="CV56" s="1035" t="str">
        <f>'Standard Vorgaben'!$E$100</f>
        <v>Behangsregulierung (von Hand)</v>
      </c>
      <c r="CX56" s="47">
        <f>'Standard Vorgaben'!$E$102</f>
        <v>40</v>
      </c>
      <c r="CY56" s="62">
        <f>'Standard Vorgaben'!$C$37</f>
        <v>23.18</v>
      </c>
      <c r="CZ56" s="43">
        <f t="shared" si="73"/>
        <v>927.2</v>
      </c>
      <c r="DA56" s="271">
        <f t="shared" si="74"/>
        <v>3.1551964967323994E-2</v>
      </c>
      <c r="DB56" s="3"/>
      <c r="DC56" s="1035" t="str">
        <f>'Standard Vorgaben'!$E$100</f>
        <v>Behangsregulierung (von Hand)</v>
      </c>
      <c r="DE56" s="47">
        <f>'Standard Vorgaben'!$E$102</f>
        <v>40</v>
      </c>
      <c r="DF56" s="62">
        <f>'Standard Vorgaben'!$C$37</f>
        <v>23.18</v>
      </c>
      <c r="DG56" s="43">
        <f t="shared" si="75"/>
        <v>927.2</v>
      </c>
      <c r="DH56" s="271">
        <f t="shared" si="76"/>
        <v>3.1548888088484099E-2</v>
      </c>
      <c r="DI56" s="3"/>
      <c r="DJ56" s="1035" t="str">
        <f>'Standard Vorgaben'!$E$100</f>
        <v>Behangsregulierung (von Hand)</v>
      </c>
      <c r="DL56" s="47">
        <f>'Standard Vorgaben'!$E$102</f>
        <v>40</v>
      </c>
      <c r="DM56" s="62">
        <f>'Standard Vorgaben'!$C$37</f>
        <v>23.18</v>
      </c>
      <c r="DN56" s="43">
        <f t="shared" si="77"/>
        <v>927.2</v>
      </c>
      <c r="DO56" s="271">
        <f t="shared" si="78"/>
        <v>3.1545784125901505E-2</v>
      </c>
      <c r="DP56" s="3"/>
      <c r="DQ56" s="1035" t="str">
        <f>'Standard Vorgaben'!$E$100</f>
        <v>Behangsregulierung (von Hand)</v>
      </c>
      <c r="DS56" s="47">
        <f>'Standard Vorgaben'!$E$102</f>
        <v>40</v>
      </c>
      <c r="DT56" s="62">
        <f>'Standard Vorgaben'!$C$37</f>
        <v>23.18</v>
      </c>
      <c r="DU56" s="43">
        <f t="shared" si="79"/>
        <v>927.2</v>
      </c>
      <c r="DV56" s="271">
        <f t="shared" si="80"/>
        <v>3.154265284663605E-2</v>
      </c>
      <c r="DW56" s="3"/>
      <c r="DX56" s="1035" t="str">
        <f>'Standard Vorgaben'!$E$100</f>
        <v>Behangsregulierung (von Hand)</v>
      </c>
      <c r="DZ56" s="47">
        <f>'Standard Vorgaben'!$E$102</f>
        <v>40</v>
      </c>
      <c r="EA56" s="62">
        <f>'Standard Vorgaben'!$C$37</f>
        <v>23.18</v>
      </c>
      <c r="EB56" s="43">
        <f t="shared" si="81"/>
        <v>927.2</v>
      </c>
      <c r="EC56" s="271">
        <f t="shared" si="82"/>
        <v>3.1539494015841746E-2</v>
      </c>
      <c r="ED56" s="3"/>
      <c r="EE56" s="1035" t="str">
        <f>'Standard Vorgaben'!$E$100</f>
        <v>Behangsregulierung (von Hand)</v>
      </c>
      <c r="EG56" s="47">
        <f>'Standard Vorgaben'!$E$102</f>
        <v>40</v>
      </c>
      <c r="EH56" s="62">
        <f>'Standard Vorgaben'!$C$37</f>
        <v>23.18</v>
      </c>
      <c r="EI56" s="43">
        <f t="shared" si="83"/>
        <v>927.2</v>
      </c>
      <c r="EJ56" s="271">
        <f t="shared" si="84"/>
        <v>2.6191326451338082E-2</v>
      </c>
    </row>
    <row r="57" spans="1:140" s="1" customFormat="1" x14ac:dyDescent="0.2">
      <c r="A57" s="52"/>
      <c r="B57" s="1022" t="s">
        <v>468</v>
      </c>
      <c r="C57" s="23"/>
      <c r="D57" s="1023">
        <v>15</v>
      </c>
      <c r="E57" s="62">
        <f>'Standard Vorgaben'!$C$37</f>
        <v>23.18</v>
      </c>
      <c r="F57" s="60">
        <f>D57*E57</f>
        <v>347.7</v>
      </c>
      <c r="G57" s="271">
        <f t="shared" si="48"/>
        <v>3.4243243823357319E-2</v>
      </c>
      <c r="H57" s="52"/>
      <c r="I57" s="1022" t="s">
        <v>468</v>
      </c>
      <c r="J57" s="23"/>
      <c r="K57" s="1023">
        <v>15</v>
      </c>
      <c r="L57" s="62">
        <f>'Standard Vorgaben'!$C$37</f>
        <v>23.18</v>
      </c>
      <c r="M57" s="60">
        <f t="shared" si="86"/>
        <v>347.7</v>
      </c>
      <c r="N57" s="271">
        <f t="shared" si="49"/>
        <v>2.7939955965764658E-2</v>
      </c>
      <c r="O57" s="52"/>
      <c r="P57" s="1022" t="s">
        <v>468</v>
      </c>
      <c r="Q57" s="23"/>
      <c r="R57" s="1023">
        <v>15</v>
      </c>
      <c r="S57" s="62">
        <f>'Standard Vorgaben'!$C$37</f>
        <v>23.18</v>
      </c>
      <c r="T57" s="60">
        <f t="shared" si="87"/>
        <v>347.7</v>
      </c>
      <c r="U57" s="271">
        <f t="shared" si="50"/>
        <v>1.8952170037116758E-2</v>
      </c>
      <c r="V57" s="52"/>
      <c r="W57" s="1022" t="s">
        <v>468</v>
      </c>
      <c r="X57" s="23"/>
      <c r="Y57" s="1023">
        <v>15</v>
      </c>
      <c r="Z57" s="62">
        <f>'Standard Vorgaben'!$C$37</f>
        <v>23.18</v>
      </c>
      <c r="AA57" s="60">
        <f t="shared" si="51"/>
        <v>347.7</v>
      </c>
      <c r="AB57" s="271">
        <f t="shared" si="52"/>
        <v>1.7089993654458138E-2</v>
      </c>
      <c r="AC57" s="52"/>
      <c r="AD57" s="1022" t="s">
        <v>468</v>
      </c>
      <c r="AE57" s="23"/>
      <c r="AF57" s="1023">
        <v>15</v>
      </c>
      <c r="AG57" s="62">
        <f>'Standard Vorgaben'!$C$37</f>
        <v>23.18</v>
      </c>
      <c r="AH57" s="60">
        <f t="shared" si="53"/>
        <v>347.7</v>
      </c>
      <c r="AI57" s="271">
        <f t="shared" si="54"/>
        <v>1.3080022171392761E-2</v>
      </c>
      <c r="AJ57" s="52"/>
      <c r="AK57" s="1022" t="s">
        <v>468</v>
      </c>
      <c r="AL57" s="23"/>
      <c r="AM57" s="1023">
        <v>15</v>
      </c>
      <c r="AN57" s="62">
        <f>'Standard Vorgaben'!$C$37</f>
        <v>23.18</v>
      </c>
      <c r="AO57" s="60">
        <f t="shared" si="55"/>
        <v>347.7</v>
      </c>
      <c r="AP57" s="271">
        <f t="shared" si="56"/>
        <v>1.1841928356673371E-2</v>
      </c>
      <c r="AQ57" s="52"/>
      <c r="AR57" s="1022" t="s">
        <v>468</v>
      </c>
      <c r="AS57" s="23"/>
      <c r="AT57" s="1023">
        <v>15</v>
      </c>
      <c r="AU57" s="62">
        <f>'Standard Vorgaben'!$C$37</f>
        <v>23.18</v>
      </c>
      <c r="AV57" s="60">
        <f t="shared" si="57"/>
        <v>347.7</v>
      </c>
      <c r="AW57" s="271">
        <f t="shared" si="58"/>
        <v>1.1840862119263773E-2</v>
      </c>
      <c r="AX57" s="52"/>
      <c r="AY57" s="1022" t="s">
        <v>468</v>
      </c>
      <c r="AZ57" s="23"/>
      <c r="BA57" s="1023">
        <v>15</v>
      </c>
      <c r="BB57" s="62">
        <f>'Standard Vorgaben'!$C$37</f>
        <v>23.18</v>
      </c>
      <c r="BC57" s="60">
        <f t="shared" si="59"/>
        <v>347.7</v>
      </c>
      <c r="BD57" s="271">
        <f t="shared" si="60"/>
        <v>1.1839786480305935E-2</v>
      </c>
      <c r="BE57" s="52"/>
      <c r="BF57" s="1022" t="s">
        <v>468</v>
      </c>
      <c r="BG57" s="23"/>
      <c r="BH57" s="1023">
        <v>15</v>
      </c>
      <c r="BI57" s="62">
        <f>'Standard Vorgaben'!$C$37</f>
        <v>23.18</v>
      </c>
      <c r="BJ57" s="60">
        <f t="shared" si="61"/>
        <v>347.7</v>
      </c>
      <c r="BK57" s="271">
        <f t="shared" si="62"/>
        <v>1.1838701358650292E-2</v>
      </c>
      <c r="BL57" s="52"/>
      <c r="BM57" s="1022" t="s">
        <v>468</v>
      </c>
      <c r="BN57" s="23"/>
      <c r="BO57" s="1023">
        <v>15</v>
      </c>
      <c r="BP57" s="62">
        <f>'Standard Vorgaben'!$C$37</f>
        <v>23.18</v>
      </c>
      <c r="BQ57" s="60">
        <f t="shared" si="63"/>
        <v>347.7</v>
      </c>
      <c r="BR57" s="271">
        <f t="shared" si="64"/>
        <v>1.1837606672478122E-2</v>
      </c>
      <c r="BS57" s="52"/>
      <c r="BT57" s="1022" t="s">
        <v>468</v>
      </c>
      <c r="BU57" s="23"/>
      <c r="BV57" s="1023">
        <v>15</v>
      </c>
      <c r="BW57" s="62">
        <f>'Standard Vorgaben'!$C$37</f>
        <v>23.18</v>
      </c>
      <c r="BX57" s="60">
        <f t="shared" si="65"/>
        <v>347.7</v>
      </c>
      <c r="BY57" s="271">
        <f t="shared" si="66"/>
        <v>1.1836502339296588E-2</v>
      </c>
      <c r="BZ57" s="52"/>
      <c r="CA57" s="1022" t="s">
        <v>468</v>
      </c>
      <c r="CB57" s="23"/>
      <c r="CC57" s="1023">
        <v>15</v>
      </c>
      <c r="CD57" s="62">
        <f>'Standard Vorgaben'!$C$37</f>
        <v>23.18</v>
      </c>
      <c r="CE57" s="60">
        <f t="shared" si="67"/>
        <v>347.7</v>
      </c>
      <c r="CF57" s="271">
        <f t="shared" si="68"/>
        <v>1.1835388275933759E-2</v>
      </c>
      <c r="CG57" s="52"/>
      <c r="CH57" s="1022" t="s">
        <v>468</v>
      </c>
      <c r="CI57" s="23"/>
      <c r="CJ57" s="1023">
        <v>15</v>
      </c>
      <c r="CK57" s="62">
        <f>'Standard Vorgaben'!$C$37</f>
        <v>23.18</v>
      </c>
      <c r="CL57" s="60">
        <f t="shared" si="69"/>
        <v>347.7</v>
      </c>
      <c r="CM57" s="271">
        <f t="shared" si="70"/>
        <v>1.1834264398533611E-2</v>
      </c>
      <c r="CN57" s="52"/>
      <c r="CO57" s="1022" t="s">
        <v>468</v>
      </c>
      <c r="CP57" s="23"/>
      <c r="CQ57" s="1023">
        <v>15</v>
      </c>
      <c r="CR57" s="62">
        <f>'Standard Vorgaben'!$C$37</f>
        <v>23.18</v>
      </c>
      <c r="CS57" s="60">
        <f t="shared" si="71"/>
        <v>347.7</v>
      </c>
      <c r="CT57" s="271">
        <f t="shared" si="72"/>
        <v>1.1833130622550977E-2</v>
      </c>
      <c r="CU57" s="52"/>
      <c r="CV57" s="1022" t="s">
        <v>468</v>
      </c>
      <c r="CW57" s="23"/>
      <c r="CX57" s="1023">
        <v>15</v>
      </c>
      <c r="CY57" s="62">
        <f>'Standard Vorgaben'!$C$37</f>
        <v>23.18</v>
      </c>
      <c r="CZ57" s="60">
        <f t="shared" si="73"/>
        <v>347.7</v>
      </c>
      <c r="DA57" s="271">
        <f t="shared" si="74"/>
        <v>1.1831986862746498E-2</v>
      </c>
      <c r="DC57" s="1022" t="s">
        <v>468</v>
      </c>
      <c r="DD57" s="23"/>
      <c r="DE57" s="1023">
        <v>15</v>
      </c>
      <c r="DF57" s="62">
        <f>'Standard Vorgaben'!$C$37</f>
        <v>23.18</v>
      </c>
      <c r="DG57" s="43">
        <f t="shared" si="75"/>
        <v>347.7</v>
      </c>
      <c r="DH57" s="271">
        <f t="shared" si="76"/>
        <v>1.1830833033181536E-2</v>
      </c>
      <c r="DJ57" s="1022" t="s">
        <v>468</v>
      </c>
      <c r="DK57" s="23"/>
      <c r="DL57" s="1023">
        <v>15</v>
      </c>
      <c r="DM57" s="62">
        <f>'Standard Vorgaben'!$C$37</f>
        <v>23.18</v>
      </c>
      <c r="DN57" s="43">
        <f t="shared" si="77"/>
        <v>347.7</v>
      </c>
      <c r="DO57" s="271">
        <f t="shared" si="78"/>
        <v>1.1829669047213063E-2</v>
      </c>
      <c r="DQ57" s="1022" t="s">
        <v>468</v>
      </c>
      <c r="DR57" s="23"/>
      <c r="DS57" s="1023">
        <v>15</v>
      </c>
      <c r="DT57" s="62">
        <f>'Standard Vorgaben'!$C$37</f>
        <v>23.18</v>
      </c>
      <c r="DU57" s="43">
        <f t="shared" si="79"/>
        <v>347.7</v>
      </c>
      <c r="DV57" s="271">
        <f t="shared" si="80"/>
        <v>1.182849481748852E-2</v>
      </c>
      <c r="DX57" s="1022" t="s">
        <v>468</v>
      </c>
      <c r="DY57" s="23"/>
      <c r="DZ57" s="1023">
        <v>15</v>
      </c>
      <c r="EA57" s="62">
        <f>'Standard Vorgaben'!$C$37</f>
        <v>23.18</v>
      </c>
      <c r="EB57" s="43">
        <f t="shared" si="81"/>
        <v>347.7</v>
      </c>
      <c r="EC57" s="271">
        <f t="shared" si="82"/>
        <v>1.1827310255940653E-2</v>
      </c>
      <c r="EE57" s="1022" t="s">
        <v>468</v>
      </c>
      <c r="EF57" s="23"/>
      <c r="EG57" s="1023">
        <v>15</v>
      </c>
      <c r="EH57" s="62">
        <f>'Standard Vorgaben'!$C$37</f>
        <v>23.18</v>
      </c>
      <c r="EI57" s="43">
        <f t="shared" si="83"/>
        <v>347.7</v>
      </c>
      <c r="EJ57" s="271">
        <f t="shared" si="84"/>
        <v>9.8217474192517796E-3</v>
      </c>
    </row>
    <row r="58" spans="1:140" s="1" customFormat="1" ht="13.5" thickBot="1" x14ac:dyDescent="0.25">
      <c r="A58" s="52"/>
      <c r="B58" s="1022" t="s">
        <v>469</v>
      </c>
      <c r="C58" s="23"/>
      <c r="D58" s="1023">
        <v>10</v>
      </c>
      <c r="E58" s="62">
        <f>'Standard Vorgaben'!$C$37</f>
        <v>23.18</v>
      </c>
      <c r="F58" s="60">
        <f t="shared" si="85"/>
        <v>231.8</v>
      </c>
      <c r="G58" s="271">
        <f t="shared" si="48"/>
        <v>2.2828829215571545E-2</v>
      </c>
      <c r="H58" s="52"/>
      <c r="I58" s="1022" t="s">
        <v>469</v>
      </c>
      <c r="J58" s="23"/>
      <c r="K58" s="1023">
        <v>10</v>
      </c>
      <c r="L58" s="62">
        <f>'Standard Vorgaben'!$C$37</f>
        <v>23.18</v>
      </c>
      <c r="M58" s="60">
        <f t="shared" si="86"/>
        <v>231.8</v>
      </c>
      <c r="N58" s="271">
        <f t="shared" si="49"/>
        <v>1.8626637310509776E-2</v>
      </c>
      <c r="O58" s="52"/>
      <c r="P58" s="1022" t="s">
        <v>469</v>
      </c>
      <c r="Q58" s="23"/>
      <c r="R58" s="1023">
        <v>10</v>
      </c>
      <c r="S58" s="62">
        <f>'Standard Vorgaben'!$C$37</f>
        <v>23.18</v>
      </c>
      <c r="T58" s="197">
        <f t="shared" si="87"/>
        <v>231.8</v>
      </c>
      <c r="U58" s="271">
        <f t="shared" si="50"/>
        <v>1.2634780024744507E-2</v>
      </c>
      <c r="V58" s="52"/>
      <c r="W58" s="1022" t="s">
        <v>469</v>
      </c>
      <c r="X58" s="23"/>
      <c r="Y58" s="1023">
        <v>10</v>
      </c>
      <c r="Z58" s="62">
        <f>'Standard Vorgaben'!$C$37</f>
        <v>23.18</v>
      </c>
      <c r="AA58" s="197">
        <f t="shared" si="51"/>
        <v>231.8</v>
      </c>
      <c r="AB58" s="271">
        <f t="shared" si="52"/>
        <v>1.1393329102972093E-2</v>
      </c>
      <c r="AC58" s="52"/>
      <c r="AD58" s="1022" t="s">
        <v>469</v>
      </c>
      <c r="AE58" s="23"/>
      <c r="AF58" s="1023">
        <v>10</v>
      </c>
      <c r="AG58" s="62">
        <f>'Standard Vorgaben'!$C$37</f>
        <v>23.18</v>
      </c>
      <c r="AH58" s="197">
        <f t="shared" si="53"/>
        <v>231.8</v>
      </c>
      <c r="AI58" s="271">
        <f t="shared" si="54"/>
        <v>8.7200147809285092E-3</v>
      </c>
      <c r="AJ58" s="52"/>
      <c r="AK58" s="1022" t="s">
        <v>469</v>
      </c>
      <c r="AL58" s="23"/>
      <c r="AM58" s="1023">
        <v>10</v>
      </c>
      <c r="AN58" s="62">
        <f>'Standard Vorgaben'!$C$37</f>
        <v>23.18</v>
      </c>
      <c r="AO58" s="60">
        <f t="shared" si="55"/>
        <v>231.8</v>
      </c>
      <c r="AP58" s="271">
        <f t="shared" si="56"/>
        <v>7.8946189044489141E-3</v>
      </c>
      <c r="AQ58" s="52"/>
      <c r="AR58" s="1022" t="s">
        <v>469</v>
      </c>
      <c r="AS58" s="23"/>
      <c r="AT58" s="1023">
        <v>10</v>
      </c>
      <c r="AU58" s="62">
        <f>'Standard Vorgaben'!$C$37</f>
        <v>23.18</v>
      </c>
      <c r="AV58" s="60">
        <f t="shared" si="57"/>
        <v>231.8</v>
      </c>
      <c r="AW58" s="271">
        <f t="shared" si="58"/>
        <v>7.8939080795091821E-3</v>
      </c>
      <c r="AX58" s="52"/>
      <c r="AY58" s="1022" t="s">
        <v>469</v>
      </c>
      <c r="AZ58" s="23"/>
      <c r="BA58" s="1023">
        <v>10</v>
      </c>
      <c r="BB58" s="62">
        <f>'Standard Vorgaben'!$C$37</f>
        <v>23.18</v>
      </c>
      <c r="BC58" s="197">
        <f t="shared" si="59"/>
        <v>231.8</v>
      </c>
      <c r="BD58" s="271">
        <f t="shared" si="60"/>
        <v>7.8931909868706247E-3</v>
      </c>
      <c r="BE58" s="52"/>
      <c r="BF58" s="1022" t="s">
        <v>469</v>
      </c>
      <c r="BG58" s="23"/>
      <c r="BH58" s="1023">
        <v>10</v>
      </c>
      <c r="BI58" s="62">
        <f>'Standard Vorgaben'!$C$37</f>
        <v>23.18</v>
      </c>
      <c r="BJ58" s="60">
        <f t="shared" si="61"/>
        <v>231.8</v>
      </c>
      <c r="BK58" s="271">
        <f t="shared" si="62"/>
        <v>7.8924675724335296E-3</v>
      </c>
      <c r="BL58" s="52"/>
      <c r="BM58" s="1022" t="s">
        <v>469</v>
      </c>
      <c r="BN58" s="23"/>
      <c r="BO58" s="1023">
        <v>10</v>
      </c>
      <c r="BP58" s="62">
        <f>'Standard Vorgaben'!$C$37</f>
        <v>23.18</v>
      </c>
      <c r="BQ58" s="197">
        <f t="shared" si="63"/>
        <v>231.8</v>
      </c>
      <c r="BR58" s="271">
        <f t="shared" si="64"/>
        <v>7.8917377816520827E-3</v>
      </c>
      <c r="BS58" s="52"/>
      <c r="BT58" s="1022" t="s">
        <v>469</v>
      </c>
      <c r="BU58" s="23"/>
      <c r="BV58" s="1023">
        <v>10</v>
      </c>
      <c r="BW58" s="62">
        <f>'Standard Vorgaben'!$C$37</f>
        <v>23.18</v>
      </c>
      <c r="BX58" s="197">
        <f t="shared" si="65"/>
        <v>231.8</v>
      </c>
      <c r="BY58" s="271">
        <f t="shared" si="66"/>
        <v>7.8910015595310586E-3</v>
      </c>
      <c r="BZ58" s="52"/>
      <c r="CA58" s="1022" t="s">
        <v>469</v>
      </c>
      <c r="CB58" s="23"/>
      <c r="CC58" s="1023">
        <v>10</v>
      </c>
      <c r="CD58" s="62">
        <f>'Standard Vorgaben'!$C$37</f>
        <v>23.18</v>
      </c>
      <c r="CE58" s="197">
        <f t="shared" si="67"/>
        <v>231.8</v>
      </c>
      <c r="CF58" s="271">
        <f t="shared" si="68"/>
        <v>7.8902588506225071E-3</v>
      </c>
      <c r="CG58" s="52"/>
      <c r="CH58" s="1022" t="s">
        <v>469</v>
      </c>
      <c r="CI58" s="23"/>
      <c r="CJ58" s="1023">
        <v>10</v>
      </c>
      <c r="CK58" s="62">
        <f>'Standard Vorgaben'!$C$37</f>
        <v>23.18</v>
      </c>
      <c r="CL58" s="197">
        <f t="shared" si="69"/>
        <v>231.8</v>
      </c>
      <c r="CM58" s="271">
        <f t="shared" si="70"/>
        <v>7.8895095990224075E-3</v>
      </c>
      <c r="CN58" s="52"/>
      <c r="CO58" s="1022" t="s">
        <v>469</v>
      </c>
      <c r="CP58" s="23"/>
      <c r="CQ58" s="1023">
        <v>10</v>
      </c>
      <c r="CR58" s="62">
        <f>'Standard Vorgaben'!$C$37</f>
        <v>23.18</v>
      </c>
      <c r="CS58" s="197">
        <f t="shared" si="71"/>
        <v>231.8</v>
      </c>
      <c r="CT58" s="271">
        <f t="shared" si="72"/>
        <v>7.8887537483673179E-3</v>
      </c>
      <c r="CU58" s="52"/>
      <c r="CV58" s="1022" t="s">
        <v>469</v>
      </c>
      <c r="CW58" s="23"/>
      <c r="CX58" s="1023">
        <v>10</v>
      </c>
      <c r="CY58" s="62">
        <f>'Standard Vorgaben'!$C$37</f>
        <v>23.18</v>
      </c>
      <c r="CZ58" s="60">
        <f t="shared" si="73"/>
        <v>231.8</v>
      </c>
      <c r="DA58" s="271">
        <f t="shared" si="74"/>
        <v>7.8879912418309984E-3</v>
      </c>
      <c r="DC58" s="1022" t="s">
        <v>469</v>
      </c>
      <c r="DD58" s="23"/>
      <c r="DE58" s="1023">
        <v>10</v>
      </c>
      <c r="DF58" s="62">
        <f>'Standard Vorgaben'!$C$37</f>
        <v>23.18</v>
      </c>
      <c r="DG58" s="43">
        <f t="shared" si="75"/>
        <v>231.8</v>
      </c>
      <c r="DH58" s="271">
        <f t="shared" si="76"/>
        <v>7.8872220221210248E-3</v>
      </c>
      <c r="DJ58" s="1022" t="s">
        <v>469</v>
      </c>
      <c r="DK58" s="23"/>
      <c r="DL58" s="1023">
        <v>10</v>
      </c>
      <c r="DM58" s="62">
        <f>'Standard Vorgaben'!$C$37</f>
        <v>23.18</v>
      </c>
      <c r="DN58" s="43">
        <f t="shared" si="77"/>
        <v>231.8</v>
      </c>
      <c r="DO58" s="271">
        <f t="shared" si="78"/>
        <v>7.8864460314753762E-3</v>
      </c>
      <c r="DQ58" s="1022" t="s">
        <v>469</v>
      </c>
      <c r="DR58" s="23"/>
      <c r="DS58" s="1023">
        <v>10</v>
      </c>
      <c r="DT58" s="62">
        <f>'Standard Vorgaben'!$C$37</f>
        <v>23.18</v>
      </c>
      <c r="DU58" s="43">
        <f t="shared" si="79"/>
        <v>231.8</v>
      </c>
      <c r="DV58" s="271">
        <f t="shared" si="80"/>
        <v>7.8856632116590126E-3</v>
      </c>
      <c r="DX58" s="1022" t="s">
        <v>469</v>
      </c>
      <c r="DY58" s="23"/>
      <c r="DZ58" s="1023">
        <v>10</v>
      </c>
      <c r="EA58" s="62">
        <f>'Standard Vorgaben'!$C$37</f>
        <v>23.18</v>
      </c>
      <c r="EB58" s="43">
        <f t="shared" si="81"/>
        <v>231.8</v>
      </c>
      <c r="EC58" s="271">
        <f t="shared" si="82"/>
        <v>7.8848735039604365E-3</v>
      </c>
      <c r="EE58" s="1022" t="s">
        <v>469</v>
      </c>
      <c r="EF58" s="23"/>
      <c r="EG58" s="1023">
        <v>10</v>
      </c>
      <c r="EH58" s="62">
        <f>'Standard Vorgaben'!$C$37</f>
        <v>23.18</v>
      </c>
      <c r="EI58" s="43">
        <f t="shared" si="83"/>
        <v>231.8</v>
      </c>
      <c r="EJ58" s="271">
        <f t="shared" si="84"/>
        <v>6.5478316128345206E-3</v>
      </c>
    </row>
    <row r="59" spans="1:140" s="1" customFormat="1" x14ac:dyDescent="0.2">
      <c r="A59" s="52"/>
      <c r="B59" s="1022" t="s">
        <v>599</v>
      </c>
      <c r="C59" s="23"/>
      <c r="D59" s="503">
        <f>'Standard Erstellung'!$D$158</f>
        <v>20</v>
      </c>
      <c r="E59" s="62">
        <f>'Standard Vorgaben'!$C$37</f>
        <v>23.18</v>
      </c>
      <c r="F59" s="60">
        <f>D59*E59</f>
        <v>463.6</v>
      </c>
      <c r="G59" s="271">
        <f t="shared" si="48"/>
        <v>4.565765843114309E-2</v>
      </c>
      <c r="H59" s="52"/>
      <c r="I59" s="1022" t="s">
        <v>599</v>
      </c>
      <c r="J59" s="23"/>
      <c r="K59" s="503">
        <f>'Standard Erstellung'!$D$158</f>
        <v>20</v>
      </c>
      <c r="L59" s="62">
        <f>'Standard Vorgaben'!$C$37</f>
        <v>23.18</v>
      </c>
      <c r="M59" s="60">
        <f>K59*L59</f>
        <v>463.6</v>
      </c>
      <c r="N59" s="271">
        <f t="shared" si="49"/>
        <v>3.7253274621019551E-2</v>
      </c>
      <c r="O59" s="52"/>
      <c r="P59" s="1022" t="s">
        <v>599</v>
      </c>
      <c r="Q59" s="23"/>
      <c r="R59" s="503">
        <f>'Standard Erstellung'!$D$158</f>
        <v>20</v>
      </c>
      <c r="S59" s="62">
        <f>'Standard Vorgaben'!$C$37</f>
        <v>23.18</v>
      </c>
      <c r="T59" s="60">
        <f>R59*S59</f>
        <v>463.6</v>
      </c>
      <c r="U59" s="271">
        <f t="shared" si="50"/>
        <v>2.5269560049489014E-2</v>
      </c>
      <c r="V59" s="52"/>
      <c r="W59" s="1022" t="s">
        <v>599</v>
      </c>
      <c r="X59" s="23"/>
      <c r="Y59" s="503">
        <f>'Standard Erstellung'!$D$158</f>
        <v>20</v>
      </c>
      <c r="Z59" s="62">
        <f>'Standard Vorgaben'!$C$37</f>
        <v>23.18</v>
      </c>
      <c r="AA59" s="60">
        <f>Y59*Z59</f>
        <v>463.6</v>
      </c>
      <c r="AB59" s="271">
        <f t="shared" si="52"/>
        <v>2.2786658205944187E-2</v>
      </c>
      <c r="AC59" s="52"/>
      <c r="AD59" s="1022" t="s">
        <v>599</v>
      </c>
      <c r="AE59" s="23"/>
      <c r="AF59" s="503">
        <f>'Standard Erstellung'!$D$158</f>
        <v>20</v>
      </c>
      <c r="AG59" s="62">
        <f>'Standard Vorgaben'!$C$37</f>
        <v>23.18</v>
      </c>
      <c r="AH59" s="60">
        <f>AF59*AG59</f>
        <v>463.6</v>
      </c>
      <c r="AI59" s="271">
        <f t="shared" si="54"/>
        <v>1.7440029561857018E-2</v>
      </c>
      <c r="AJ59" s="52"/>
      <c r="AK59" s="1022" t="s">
        <v>599</v>
      </c>
      <c r="AL59" s="23"/>
      <c r="AM59" s="503">
        <f>'Standard Erstellung'!$D$158</f>
        <v>20</v>
      </c>
      <c r="AN59" s="62">
        <f>'Standard Vorgaben'!$C$37</f>
        <v>23.18</v>
      </c>
      <c r="AO59" s="60">
        <f>AM59*AN59</f>
        <v>463.6</v>
      </c>
      <c r="AP59" s="271">
        <f t="shared" si="56"/>
        <v>1.5789237808897828E-2</v>
      </c>
      <c r="AQ59" s="52"/>
      <c r="AR59" s="1022" t="s">
        <v>599</v>
      </c>
      <c r="AS59" s="23"/>
      <c r="AT59" s="503">
        <f>'Standard Erstellung'!$D$158</f>
        <v>20</v>
      </c>
      <c r="AU59" s="62">
        <f>'Standard Vorgaben'!$C$37</f>
        <v>23.18</v>
      </c>
      <c r="AV59" s="60">
        <f>AT59*AU59</f>
        <v>463.6</v>
      </c>
      <c r="AW59" s="271">
        <f t="shared" si="58"/>
        <v>1.5787816159018364E-2</v>
      </c>
      <c r="AX59" s="52"/>
      <c r="AY59" s="1022" t="s">
        <v>599</v>
      </c>
      <c r="AZ59" s="23"/>
      <c r="BA59" s="503">
        <f>'Standard Erstellung'!$D$158</f>
        <v>20</v>
      </c>
      <c r="BB59" s="62">
        <f>'Standard Vorgaben'!$C$37</f>
        <v>23.18</v>
      </c>
      <c r="BC59" s="60">
        <f>BA59*BB59</f>
        <v>463.6</v>
      </c>
      <c r="BD59" s="271">
        <f t="shared" si="60"/>
        <v>1.5786381973741249E-2</v>
      </c>
      <c r="BE59" s="52"/>
      <c r="BF59" s="1022" t="s">
        <v>599</v>
      </c>
      <c r="BG59" s="23"/>
      <c r="BH59" s="503">
        <f>'Standard Erstellung'!$D$158</f>
        <v>20</v>
      </c>
      <c r="BI59" s="62">
        <f>'Standard Vorgaben'!$C$37</f>
        <v>23.18</v>
      </c>
      <c r="BJ59" s="60">
        <f>BH59*BI59</f>
        <v>463.6</v>
      </c>
      <c r="BK59" s="271"/>
      <c r="BL59" s="52"/>
      <c r="BM59" s="1022" t="s">
        <v>599</v>
      </c>
      <c r="BN59" s="23"/>
      <c r="BO59" s="503">
        <f>'Standard Erstellung'!$D$158</f>
        <v>20</v>
      </c>
      <c r="BP59" s="62">
        <f>'Standard Vorgaben'!$C$37</f>
        <v>23.18</v>
      </c>
      <c r="BQ59" s="60">
        <f>BO59*BP59</f>
        <v>463.6</v>
      </c>
      <c r="BR59" s="271"/>
      <c r="BS59" s="52"/>
      <c r="BT59" s="1022" t="s">
        <v>599</v>
      </c>
      <c r="BU59" s="23"/>
      <c r="BV59" s="503">
        <f>'Standard Erstellung'!$D$158</f>
        <v>20</v>
      </c>
      <c r="BW59" s="62">
        <f>'Standard Vorgaben'!$C$37</f>
        <v>23.18</v>
      </c>
      <c r="BX59" s="60">
        <f>BV59*BW59</f>
        <v>463.6</v>
      </c>
      <c r="BY59" s="271"/>
      <c r="BZ59" s="52"/>
      <c r="CA59" s="1022" t="s">
        <v>599</v>
      </c>
      <c r="CB59" s="23"/>
      <c r="CC59" s="503">
        <f>'Standard Erstellung'!$D$158</f>
        <v>20</v>
      </c>
      <c r="CD59" s="62">
        <f>'Standard Vorgaben'!$C$37</f>
        <v>23.18</v>
      </c>
      <c r="CE59" s="60">
        <f>CC59*CD59</f>
        <v>463.6</v>
      </c>
      <c r="CF59" s="271"/>
      <c r="CG59" s="52"/>
      <c r="CH59" s="1022" t="s">
        <v>599</v>
      </c>
      <c r="CI59" s="23"/>
      <c r="CJ59" s="503">
        <f>'Standard Erstellung'!$D$158</f>
        <v>20</v>
      </c>
      <c r="CK59" s="62">
        <f>'Standard Vorgaben'!$C$37</f>
        <v>23.18</v>
      </c>
      <c r="CL59" s="60">
        <f>CJ59*CK59</f>
        <v>463.6</v>
      </c>
      <c r="CM59" s="271">
        <f t="shared" si="70"/>
        <v>1.5779019198044815E-2</v>
      </c>
      <c r="CN59" s="52"/>
      <c r="CO59" s="1022" t="s">
        <v>599</v>
      </c>
      <c r="CP59" s="23"/>
      <c r="CQ59" s="503">
        <f>'Standard Erstellung'!$D$158</f>
        <v>20</v>
      </c>
      <c r="CR59" s="62">
        <f>'Standard Vorgaben'!$C$37</f>
        <v>23.18</v>
      </c>
      <c r="CS59" s="60">
        <f>CQ59*CR59</f>
        <v>463.6</v>
      </c>
      <c r="CT59" s="271">
        <f t="shared" si="72"/>
        <v>1.5777507496734636E-2</v>
      </c>
      <c r="CU59" s="52"/>
      <c r="CV59" s="1022" t="s">
        <v>599</v>
      </c>
      <c r="CW59" s="23"/>
      <c r="CX59" s="503">
        <f>'Standard Erstellung'!$D$158</f>
        <v>20</v>
      </c>
      <c r="CY59" s="62">
        <f>'Standard Vorgaben'!$C$37</f>
        <v>23.18</v>
      </c>
      <c r="CZ59" s="60">
        <f>CX59*CY59</f>
        <v>463.6</v>
      </c>
      <c r="DA59" s="271">
        <f t="shared" si="74"/>
        <v>1.5775982483661997E-2</v>
      </c>
      <c r="DC59" s="1022" t="s">
        <v>599</v>
      </c>
      <c r="DD59" s="23"/>
      <c r="DE59" s="503">
        <f>'Standard Erstellung'!$D$158</f>
        <v>20</v>
      </c>
      <c r="DF59" s="62">
        <f>'Standard Vorgaben'!$C$37</f>
        <v>23.18</v>
      </c>
      <c r="DG59" s="60">
        <f>DE59*DF59</f>
        <v>463.6</v>
      </c>
      <c r="DH59" s="271">
        <f t="shared" si="76"/>
        <v>1.577444404424205E-2</v>
      </c>
      <c r="DJ59" s="1022" t="s">
        <v>599</v>
      </c>
      <c r="DK59" s="23"/>
      <c r="DL59" s="503">
        <f>'Standard Erstellung'!$D$158</f>
        <v>20</v>
      </c>
      <c r="DM59" s="62">
        <f>'Standard Vorgaben'!$C$37</f>
        <v>23.18</v>
      </c>
      <c r="DN59" s="60">
        <f>DL59*DM59</f>
        <v>463.6</v>
      </c>
      <c r="DO59" s="271">
        <f t="shared" si="78"/>
        <v>1.5772892062950752E-2</v>
      </c>
      <c r="DQ59" s="1022" t="s">
        <v>599</v>
      </c>
      <c r="DR59" s="23"/>
      <c r="DS59" s="503">
        <f>'Standard Erstellung'!$D$158</f>
        <v>20</v>
      </c>
      <c r="DT59" s="62">
        <f>'Standard Vorgaben'!$C$37</f>
        <v>23.18</v>
      </c>
      <c r="DU59" s="60">
        <f>DS59*DT59</f>
        <v>463.6</v>
      </c>
      <c r="DV59" s="271">
        <f t="shared" si="80"/>
        <v>1.5771326423318025E-2</v>
      </c>
      <c r="DX59" s="1022" t="s">
        <v>599</v>
      </c>
      <c r="DY59" s="23"/>
      <c r="DZ59" s="503">
        <f>'Standard Erstellung'!$D$158</f>
        <v>20</v>
      </c>
      <c r="EA59" s="62">
        <f>'Standard Vorgaben'!$C$37</f>
        <v>23.18</v>
      </c>
      <c r="EB59" s="60">
        <f>DZ59*EA59</f>
        <v>463.6</v>
      </c>
      <c r="EC59" s="271">
        <f t="shared" si="82"/>
        <v>1.5769747007920873E-2</v>
      </c>
      <c r="EE59" s="1022" t="s">
        <v>599</v>
      </c>
      <c r="EF59" s="23"/>
      <c r="EG59" s="503">
        <f>'Standard Erstellung'!$D$158</f>
        <v>20</v>
      </c>
      <c r="EH59" s="62">
        <f>'Standard Vorgaben'!$C$37</f>
        <v>23.18</v>
      </c>
      <c r="EI59" s="60">
        <f>EG59*EH59</f>
        <v>463.6</v>
      </c>
      <c r="EJ59" s="271">
        <f t="shared" si="84"/>
        <v>1.3095663225669041E-2</v>
      </c>
    </row>
    <row r="60" spans="1:140" s="1" customFormat="1" x14ac:dyDescent="0.2">
      <c r="A60" s="3"/>
      <c r="B60" s="3" t="str">
        <f>'Standard Vorgaben'!$G$74</f>
        <v>Ernte baumfallend</v>
      </c>
      <c r="C60" s="631">
        <f>'Standard Vorgaben'!$G$96</f>
        <v>125</v>
      </c>
      <c r="D60" s="143">
        <f>(D9+D10+('Standard Vorgaben'!$D$96*D12))/C60</f>
        <v>0</v>
      </c>
      <c r="E60" s="62">
        <f>'Standard Vorgaben'!$C$37</f>
        <v>23.18</v>
      </c>
      <c r="F60" s="43">
        <f>D60*E60</f>
        <v>0</v>
      </c>
      <c r="G60" s="271">
        <f t="shared" si="48"/>
        <v>0</v>
      </c>
      <c r="H60" s="3"/>
      <c r="I60" s="3" t="str">
        <f>'Standard Vorgaben'!$G$74</f>
        <v>Ernte baumfallend</v>
      </c>
      <c r="J60" s="631">
        <f>'Standard Vorgaben'!$G$96</f>
        <v>125</v>
      </c>
      <c r="K60" s="143">
        <f>(K9+K10+('Standard Vorgaben'!$D$96*K12))/J60</f>
        <v>20.399999999999999</v>
      </c>
      <c r="L60" s="62">
        <f>'Standard Vorgaben'!$C$37</f>
        <v>23.18</v>
      </c>
      <c r="M60" s="43">
        <f t="shared" si="86"/>
        <v>472.87199999999996</v>
      </c>
      <c r="N60" s="271">
        <f t="shared" si="49"/>
        <v>3.7998340113439937E-2</v>
      </c>
      <c r="O60" s="3"/>
      <c r="P60" s="3" t="str">
        <f>'Standard Vorgaben'!$G$74</f>
        <v>Ernte baumfallend</v>
      </c>
      <c r="Q60" s="631">
        <f>'Standard Vorgaben'!$G$96</f>
        <v>125</v>
      </c>
      <c r="R60" s="143">
        <f>(R9+R10+('Standard Vorgaben'!$D$96*R12))/Q60</f>
        <v>34</v>
      </c>
      <c r="S60" s="62">
        <f>'Standard Vorgaben'!$C$37</f>
        <v>23.18</v>
      </c>
      <c r="T60" s="43">
        <f t="shared" si="87"/>
        <v>788.12</v>
      </c>
      <c r="U60" s="271">
        <f t="shared" si="50"/>
        <v>4.2958252084131322E-2</v>
      </c>
      <c r="V60" s="3"/>
      <c r="W60" s="3" t="str">
        <f>'Standard Vorgaben'!$G$74</f>
        <v>Ernte baumfallend</v>
      </c>
      <c r="X60" s="631">
        <f>'Standard Vorgaben'!$G$96</f>
        <v>125</v>
      </c>
      <c r="Y60" s="143">
        <f>(Y9+Y10+('Standard Vorgaben'!$D$96*Y12))/X60</f>
        <v>68</v>
      </c>
      <c r="Z60" s="62">
        <f>'Standard Vorgaben'!$C$37</f>
        <v>23.18</v>
      </c>
      <c r="AA60" s="43">
        <f t="shared" si="51"/>
        <v>1576.24</v>
      </c>
      <c r="AB60" s="271">
        <f t="shared" si="52"/>
        <v>7.7474637900210225E-2</v>
      </c>
      <c r="AC60" s="3"/>
      <c r="AD60" s="3" t="str">
        <f>'Standard Vorgaben'!$G$74</f>
        <v>Ernte baumfallend</v>
      </c>
      <c r="AE60" s="631">
        <f>'Standard Vorgaben'!$G$96</f>
        <v>125</v>
      </c>
      <c r="AF60" s="143">
        <f>(AF9+AF10+('Standard Vorgaben'!$D$96*AF12))/AE60</f>
        <v>136</v>
      </c>
      <c r="AG60" s="62">
        <f>'Standard Vorgaben'!$C$37</f>
        <v>23.18</v>
      </c>
      <c r="AH60" s="43">
        <f t="shared" si="53"/>
        <v>3152.48</v>
      </c>
      <c r="AI60" s="271">
        <f t="shared" si="54"/>
        <v>0.11859220102062772</v>
      </c>
      <c r="AJ60" s="3"/>
      <c r="AK60" s="3" t="str">
        <f>'Standard Vorgaben'!$G$74</f>
        <v>Ernte baumfallend</v>
      </c>
      <c r="AL60" s="631">
        <f>'Standard Vorgaben'!$G$96</f>
        <v>125</v>
      </c>
      <c r="AM60" s="143">
        <f>(AM9+AM10+('Standard Vorgaben'!$D$96*AM12))/AL60</f>
        <v>217.6</v>
      </c>
      <c r="AN60" s="62">
        <f>'Standard Vorgaben'!$C$37</f>
        <v>23.18</v>
      </c>
      <c r="AO60" s="43">
        <f t="shared" si="55"/>
        <v>5043.9679999999998</v>
      </c>
      <c r="AP60" s="271">
        <f t="shared" si="56"/>
        <v>0.17178690736080837</v>
      </c>
      <c r="AQ60" s="3"/>
      <c r="AR60" s="3" t="str">
        <f>'Standard Vorgaben'!$G$74</f>
        <v>Ernte baumfallend</v>
      </c>
      <c r="AS60" s="631">
        <f>'Standard Vorgaben'!$G$96</f>
        <v>125</v>
      </c>
      <c r="AT60" s="143">
        <f>(AT9+AT10+('Standard Vorgaben'!$D$96*AT12))/AS60</f>
        <v>217.6</v>
      </c>
      <c r="AU60" s="62">
        <f>'Standard Vorgaben'!$C$37</f>
        <v>23.18</v>
      </c>
      <c r="AV60" s="43">
        <f t="shared" si="57"/>
        <v>5043.9679999999998</v>
      </c>
      <c r="AW60" s="271">
        <f t="shared" si="58"/>
        <v>0.1717714398101198</v>
      </c>
      <c r="AX60" s="3"/>
      <c r="AY60" s="3" t="str">
        <f>'Standard Vorgaben'!$G$74</f>
        <v>Ernte baumfallend</v>
      </c>
      <c r="AZ60" s="631">
        <f>'Standard Vorgaben'!$G$96</f>
        <v>125</v>
      </c>
      <c r="BA60" s="143">
        <f>(BA9+BA10+('Standard Vorgaben'!$D$96*BA12))/AZ60</f>
        <v>217.6</v>
      </c>
      <c r="BB60" s="62">
        <f>'Standard Vorgaben'!$C$37</f>
        <v>23.18</v>
      </c>
      <c r="BC60" s="43">
        <f t="shared" si="59"/>
        <v>5043.9679999999998</v>
      </c>
      <c r="BD60" s="271">
        <f t="shared" si="60"/>
        <v>0.17175583587430476</v>
      </c>
      <c r="BE60" s="3"/>
      <c r="BF60" s="3" t="str">
        <f>'Standard Vorgaben'!$G$74</f>
        <v>Ernte baumfallend</v>
      </c>
      <c r="BG60" s="631">
        <f>'Standard Vorgaben'!$G$96</f>
        <v>125</v>
      </c>
      <c r="BH60" s="143">
        <f>(BH9+BH10+('Standard Vorgaben'!$D$96*BH12))/BG60</f>
        <v>217.6</v>
      </c>
      <c r="BI60" s="62">
        <f>'Standard Vorgaben'!$C$37</f>
        <v>23.18</v>
      </c>
      <c r="BJ60" s="43">
        <f t="shared" si="61"/>
        <v>5043.9679999999998</v>
      </c>
      <c r="BK60" s="271">
        <f t="shared" si="62"/>
        <v>0.17174009437615356</v>
      </c>
      <c r="BL60" s="3"/>
      <c r="BM60" s="3" t="str">
        <f>'Standard Vorgaben'!$G$74</f>
        <v>Ernte baumfallend</v>
      </c>
      <c r="BN60" s="631">
        <f>'Standard Vorgaben'!$G$96</f>
        <v>125</v>
      </c>
      <c r="BO60" s="143">
        <f>(BO9+BO10+('Standard Vorgaben'!$D$96*BO12))/BN60</f>
        <v>217.6</v>
      </c>
      <c r="BP60" s="62">
        <f>'Standard Vorgaben'!$C$37</f>
        <v>23.18</v>
      </c>
      <c r="BQ60" s="43">
        <f t="shared" si="63"/>
        <v>5043.9679999999998</v>
      </c>
      <c r="BR60" s="271">
        <f t="shared" si="64"/>
        <v>0.1717242141287493</v>
      </c>
      <c r="BS60" s="3"/>
      <c r="BT60" s="3" t="str">
        <f>'Standard Vorgaben'!$G$74</f>
        <v>Ernte baumfallend</v>
      </c>
      <c r="BU60" s="631">
        <f>'Standard Vorgaben'!$G$96</f>
        <v>125</v>
      </c>
      <c r="BV60" s="143">
        <f>(BV9+BV10+('Standard Vorgaben'!$D$96*BV12))/BU60</f>
        <v>217.6</v>
      </c>
      <c r="BW60" s="62">
        <f>'Standard Vorgaben'!$C$37</f>
        <v>23.18</v>
      </c>
      <c r="BX60" s="43">
        <f t="shared" si="65"/>
        <v>5043.9679999999998</v>
      </c>
      <c r="BY60" s="271">
        <f t="shared" si="66"/>
        <v>0.17170819393539583</v>
      </c>
      <c r="BZ60" s="3"/>
      <c r="CA60" s="3" t="str">
        <f>'Standard Vorgaben'!$G$74</f>
        <v>Ernte baumfallend</v>
      </c>
      <c r="CB60" s="631">
        <f>'Standard Vorgaben'!$G$96</f>
        <v>125</v>
      </c>
      <c r="CC60" s="143">
        <f>(CC9+CC10+('Standard Vorgaben'!$D$96*CC12))/CB60</f>
        <v>217.6</v>
      </c>
      <c r="CD60" s="62">
        <f>'Standard Vorgaben'!$C$37</f>
        <v>23.18</v>
      </c>
      <c r="CE60" s="43">
        <f t="shared" si="67"/>
        <v>5043.9679999999998</v>
      </c>
      <c r="CF60" s="271">
        <f t="shared" si="68"/>
        <v>0.17169203258954574</v>
      </c>
      <c r="CG60" s="3"/>
      <c r="CH60" s="3" t="str">
        <f>'Standard Vorgaben'!$G$74</f>
        <v>Ernte baumfallend</v>
      </c>
      <c r="CI60" s="631">
        <f>'Standard Vorgaben'!$G$96</f>
        <v>125</v>
      </c>
      <c r="CJ60" s="143">
        <f>(CJ9+CJ10+('Standard Vorgaben'!$D$96*CJ12))/CI60</f>
        <v>217.6</v>
      </c>
      <c r="CK60" s="62">
        <f>'Standard Vorgaben'!$C$37</f>
        <v>23.18</v>
      </c>
      <c r="CL60" s="43">
        <f t="shared" si="69"/>
        <v>5043.9679999999998</v>
      </c>
      <c r="CM60" s="271">
        <f t="shared" si="70"/>
        <v>0.1716757288747276</v>
      </c>
      <c r="CN60" s="3"/>
      <c r="CO60" s="3" t="str">
        <f>'Standard Vorgaben'!$G$74</f>
        <v>Ernte baumfallend</v>
      </c>
      <c r="CP60" s="631">
        <f>'Standard Vorgaben'!$G$96</f>
        <v>125</v>
      </c>
      <c r="CQ60" s="143">
        <f>(CQ9+CQ10+('Standard Vorgaben'!$D$96*CQ12))/CP60</f>
        <v>217.6</v>
      </c>
      <c r="CR60" s="62">
        <f>'Standard Vorgaben'!$C$37</f>
        <v>23.18</v>
      </c>
      <c r="CS60" s="43">
        <f t="shared" si="71"/>
        <v>5043.9679999999998</v>
      </c>
      <c r="CT60" s="271">
        <f t="shared" si="72"/>
        <v>0.17165928156447283</v>
      </c>
      <c r="CU60" s="3"/>
      <c r="CV60" s="3" t="str">
        <f>'Standard Vorgaben'!$G$74</f>
        <v>Ernte baumfallend</v>
      </c>
      <c r="CW60" s="631">
        <f>'Standard Vorgaben'!$G$96</f>
        <v>125</v>
      </c>
      <c r="CX60" s="143">
        <f>(CX9+CX10+('Standard Vorgaben'!$D$96*CX12))/CW60</f>
        <v>217.6</v>
      </c>
      <c r="CY60" s="62">
        <f>'Standard Vorgaben'!$C$37</f>
        <v>23.18</v>
      </c>
      <c r="CZ60" s="43">
        <f t="shared" si="73"/>
        <v>5043.9679999999998</v>
      </c>
      <c r="DA60" s="271">
        <f t="shared" si="74"/>
        <v>0.17164268942224253</v>
      </c>
      <c r="DB60" s="3"/>
      <c r="DC60" s="3" t="str">
        <f>'Standard Vorgaben'!$G$74</f>
        <v>Ernte baumfallend</v>
      </c>
      <c r="DD60" s="631">
        <f>'Standard Vorgaben'!$G$96</f>
        <v>125</v>
      </c>
      <c r="DE60" s="143">
        <f>(DE9+DE10+('Standard Vorgaben'!$D$96*DE12))/DD60</f>
        <v>217.6</v>
      </c>
      <c r="DF60" s="62">
        <f>'Standard Vorgaben'!$C$37</f>
        <v>23.18</v>
      </c>
      <c r="DG60" s="43">
        <f t="shared" si="75"/>
        <v>5043.9679999999998</v>
      </c>
      <c r="DH60" s="271">
        <f t="shared" si="76"/>
        <v>0.17162595120135349</v>
      </c>
      <c r="DI60" s="3"/>
      <c r="DJ60" s="3" t="str">
        <f>'Standard Vorgaben'!$G$74</f>
        <v>Ernte baumfallend</v>
      </c>
      <c r="DK60" s="631">
        <f>'Standard Vorgaben'!$G$96</f>
        <v>125</v>
      </c>
      <c r="DL60" s="143">
        <f>(DL9+DL10+('Standard Vorgaben'!$D$96*DL12))/DK60</f>
        <v>217.6</v>
      </c>
      <c r="DM60" s="62">
        <f>'Standard Vorgaben'!$C$37</f>
        <v>23.18</v>
      </c>
      <c r="DN60" s="43">
        <f t="shared" si="77"/>
        <v>5043.9679999999998</v>
      </c>
      <c r="DO60" s="271">
        <f t="shared" si="78"/>
        <v>0.17160906564490416</v>
      </c>
      <c r="DP60" s="3"/>
      <c r="DQ60" s="3" t="str">
        <f>'Standard Vorgaben'!$G$74</f>
        <v>Ernte baumfallend</v>
      </c>
      <c r="DR60" s="631">
        <f>'Standard Vorgaben'!$G$96</f>
        <v>125</v>
      </c>
      <c r="DS60" s="143">
        <f>(DS9+DS10+('Standard Vorgaben'!$D$96*DS12))/DR60</f>
        <v>217.6</v>
      </c>
      <c r="DT60" s="62">
        <f>'Standard Vorgaben'!$C$37</f>
        <v>23.18</v>
      </c>
      <c r="DU60" s="43">
        <f t="shared" si="79"/>
        <v>5043.9679999999998</v>
      </c>
      <c r="DV60" s="271">
        <f t="shared" si="80"/>
        <v>0.17159203148570012</v>
      </c>
      <c r="DW60" s="3"/>
      <c r="DX60" s="3" t="str">
        <f>'Standard Vorgaben'!$G$74</f>
        <v>Ernte baumfallend</v>
      </c>
      <c r="DY60" s="631">
        <f>'Standard Vorgaben'!$G$96</f>
        <v>125</v>
      </c>
      <c r="DZ60" s="143">
        <f>(DZ9+DZ10+('Standard Vorgaben'!$D$96*DZ12))/DY60</f>
        <v>217.6</v>
      </c>
      <c r="EA60" s="62">
        <f>'Standard Vorgaben'!$C$37</f>
        <v>23.18</v>
      </c>
      <c r="EB60" s="43">
        <f t="shared" si="81"/>
        <v>5043.9679999999998</v>
      </c>
      <c r="EC60" s="271">
        <f t="shared" si="82"/>
        <v>0.17157484744617907</v>
      </c>
      <c r="ED60" s="3"/>
      <c r="EE60" s="3" t="str">
        <f>'Standard Vorgaben'!$G$74</f>
        <v>Ernte baumfallend</v>
      </c>
      <c r="EF60" s="631">
        <f>'Standard Vorgaben'!$G$96</f>
        <v>125</v>
      </c>
      <c r="EG60" s="143">
        <f>(EG9+EG10+('Standard Vorgaben'!$D$96*EG12))/EF60</f>
        <v>217.6</v>
      </c>
      <c r="EH60" s="62">
        <f>'Standard Vorgaben'!$C$37</f>
        <v>23.18</v>
      </c>
      <c r="EI60" s="43">
        <f t="shared" si="83"/>
        <v>5043.9679999999998</v>
      </c>
      <c r="EJ60" s="271">
        <f t="shared" si="84"/>
        <v>0.14248081589527914</v>
      </c>
    </row>
    <row r="61" spans="1:140" s="1" customFormat="1" x14ac:dyDescent="0.2">
      <c r="A61" s="3"/>
      <c r="B61" s="4" t="s">
        <v>99</v>
      </c>
      <c r="C61" s="46"/>
      <c r="D61" s="563">
        <f>'Standard Vorgaben'!$F$103+'Standard Vorgaben'!$G$103</f>
        <v>20</v>
      </c>
      <c r="E61" s="62">
        <f>'Standard Vorgaben'!$C$34</f>
        <v>41.4</v>
      </c>
      <c r="F61" s="118">
        <f t="shared" si="85"/>
        <v>828</v>
      </c>
      <c r="G61" s="271">
        <f t="shared" si="48"/>
        <v>8.1545602202300435E-2</v>
      </c>
      <c r="H61" s="3"/>
      <c r="I61" s="4" t="s">
        <v>99</v>
      </c>
      <c r="J61" s="46"/>
      <c r="K61" s="563">
        <f>'Standard Vorgaben'!$F$103+'Standard Vorgaben'!$G$103</f>
        <v>20</v>
      </c>
      <c r="L61" s="62">
        <f>'Standard Vorgaben'!$C$34</f>
        <v>41.4</v>
      </c>
      <c r="M61" s="118">
        <f t="shared" si="86"/>
        <v>828</v>
      </c>
      <c r="N61" s="271">
        <f t="shared" si="49"/>
        <v>6.65351841807683E-2</v>
      </c>
      <c r="O61" s="3"/>
      <c r="P61" s="4" t="s">
        <v>99</v>
      </c>
      <c r="Q61" s="46"/>
      <c r="R61" s="563">
        <f>'Standard Vorgaben'!$F$103+'Standard Vorgaben'!$G$103</f>
        <v>20</v>
      </c>
      <c r="S61" s="62">
        <f>'Standard Vorgaben'!$C$34</f>
        <v>41.4</v>
      </c>
      <c r="T61" s="118">
        <f t="shared" si="87"/>
        <v>828</v>
      </c>
      <c r="U61" s="271">
        <f t="shared" si="50"/>
        <v>4.513200112376381E-2</v>
      </c>
      <c r="V61" s="3"/>
      <c r="W61" s="4" t="s">
        <v>99</v>
      </c>
      <c r="X61" s="46"/>
      <c r="Y61" s="563">
        <f>'Standard Vorgaben'!$F$103+'Standard Vorgaben'!$G$103</f>
        <v>20</v>
      </c>
      <c r="Z61" s="62">
        <f>'Standard Vorgaben'!$C$34</f>
        <v>41.4</v>
      </c>
      <c r="AA61" s="118">
        <f t="shared" si="51"/>
        <v>828</v>
      </c>
      <c r="AB61" s="271">
        <f t="shared" si="52"/>
        <v>4.0697482731927921E-2</v>
      </c>
      <c r="AC61" s="3"/>
      <c r="AD61" s="4" t="s">
        <v>99</v>
      </c>
      <c r="AE61" s="46"/>
      <c r="AF61" s="563">
        <f>'Standard Vorgaben'!$F$103+'Standard Vorgaben'!$G$103</f>
        <v>20</v>
      </c>
      <c r="AG61" s="62">
        <f>'Standard Vorgaben'!$C$34</f>
        <v>41.4</v>
      </c>
      <c r="AH61" s="118">
        <f t="shared" si="53"/>
        <v>828</v>
      </c>
      <c r="AI61" s="271">
        <f t="shared" si="54"/>
        <v>3.1148284031962056E-2</v>
      </c>
      <c r="AJ61" s="3"/>
      <c r="AK61" s="4" t="s">
        <v>99</v>
      </c>
      <c r="AL61" s="46"/>
      <c r="AM61" s="563">
        <f>'Standard Vorgaben'!$F$103+'Standard Vorgaben'!$G$103</f>
        <v>20</v>
      </c>
      <c r="AN61" s="62">
        <f>'Standard Vorgaben'!$C$34</f>
        <v>41.4</v>
      </c>
      <c r="AO61" s="118">
        <f t="shared" si="55"/>
        <v>828</v>
      </c>
      <c r="AP61" s="271">
        <f t="shared" si="56"/>
        <v>2.8199932928747631E-2</v>
      </c>
      <c r="AQ61" s="3"/>
      <c r="AR61" s="4" t="s">
        <v>99</v>
      </c>
      <c r="AS61" s="46"/>
      <c r="AT61" s="563">
        <f>'Standard Vorgaben'!$F$103+'Standard Vorgaben'!$G$103</f>
        <v>20</v>
      </c>
      <c r="AU61" s="62">
        <f>'Standard Vorgaben'!$C$34</f>
        <v>41.4</v>
      </c>
      <c r="AV61" s="118">
        <f t="shared" si="57"/>
        <v>828</v>
      </c>
      <c r="AW61" s="271">
        <f t="shared" si="58"/>
        <v>2.819739383017085E-2</v>
      </c>
      <c r="AX61" s="3"/>
      <c r="AY61" s="4" t="s">
        <v>99</v>
      </c>
      <c r="AZ61" s="46"/>
      <c r="BA61" s="563">
        <f>'Standard Vorgaben'!$F$103+'Standard Vorgaben'!$G$103</f>
        <v>20</v>
      </c>
      <c r="BB61" s="62">
        <f>'Standard Vorgaben'!$C$34</f>
        <v>41.4</v>
      </c>
      <c r="BC61" s="118">
        <f t="shared" si="59"/>
        <v>828</v>
      </c>
      <c r="BD61" s="271">
        <f t="shared" si="60"/>
        <v>2.8194832343092651E-2</v>
      </c>
      <c r="BE61" s="3"/>
      <c r="BF61" s="4" t="s">
        <v>99</v>
      </c>
      <c r="BG61" s="46"/>
      <c r="BH61" s="563">
        <f>'Standard Vorgaben'!$F$103+'Standard Vorgaben'!$G$103</f>
        <v>20</v>
      </c>
      <c r="BI61" s="62">
        <f>'Standard Vorgaben'!$C$34</f>
        <v>41.4</v>
      </c>
      <c r="BJ61" s="118">
        <f t="shared" si="61"/>
        <v>828</v>
      </c>
      <c r="BK61" s="271">
        <f t="shared" si="62"/>
        <v>2.8192248274266443E-2</v>
      </c>
      <c r="BL61" s="3"/>
      <c r="BM61" s="4" t="s">
        <v>99</v>
      </c>
      <c r="BN61" s="46"/>
      <c r="BO61" s="563">
        <f>'Standard Vorgaben'!$F$103+'Standard Vorgaben'!$G$103</f>
        <v>20</v>
      </c>
      <c r="BP61" s="62">
        <f>'Standard Vorgaben'!$C$34</f>
        <v>41.4</v>
      </c>
      <c r="BQ61" s="118">
        <f t="shared" si="63"/>
        <v>828</v>
      </c>
      <c r="BR61" s="271">
        <f t="shared" si="64"/>
        <v>2.8189641428852129E-2</v>
      </c>
      <c r="BS61" s="3"/>
      <c r="BT61" s="4" t="s">
        <v>99</v>
      </c>
      <c r="BU61" s="46"/>
      <c r="BV61" s="563">
        <f>'Standard Vorgaben'!$F$103+'Standard Vorgaben'!$G$103</f>
        <v>20</v>
      </c>
      <c r="BW61" s="62">
        <f>'Standard Vorgaben'!$C$34</f>
        <v>41.4</v>
      </c>
      <c r="BX61" s="118">
        <f t="shared" si="65"/>
        <v>828</v>
      </c>
      <c r="BY61" s="271">
        <f t="shared" si="66"/>
        <v>2.8187011610404298E-2</v>
      </c>
      <c r="BZ61" s="3"/>
      <c r="CA61" s="4" t="s">
        <v>99</v>
      </c>
      <c r="CB61" s="46"/>
      <c r="CC61" s="563">
        <f>'Standard Vorgaben'!$F$103+'Standard Vorgaben'!$G$103</f>
        <v>20</v>
      </c>
      <c r="CD61" s="62">
        <f>'Standard Vorgaben'!$C$34</f>
        <v>41.4</v>
      </c>
      <c r="CE61" s="118">
        <f t="shared" si="67"/>
        <v>828</v>
      </c>
      <c r="CF61" s="271">
        <f t="shared" si="68"/>
        <v>2.8184358620860377E-2</v>
      </c>
      <c r="CG61" s="3"/>
      <c r="CH61" s="4" t="s">
        <v>99</v>
      </c>
      <c r="CI61" s="46"/>
      <c r="CJ61" s="563">
        <f>'Standard Vorgaben'!$F$103+'Standard Vorgaben'!$G$103</f>
        <v>20</v>
      </c>
      <c r="CK61" s="62">
        <f>'Standard Vorgaben'!$C$34</f>
        <v>41.4</v>
      </c>
      <c r="CL61" s="118">
        <f t="shared" si="69"/>
        <v>828</v>
      </c>
      <c r="CM61" s="271">
        <f t="shared" si="70"/>
        <v>2.8181682260528702E-2</v>
      </c>
      <c r="CN61" s="3"/>
      <c r="CO61" s="4" t="s">
        <v>99</v>
      </c>
      <c r="CP61" s="46"/>
      <c r="CQ61" s="563">
        <f>'Standard Vorgaben'!$F$103+'Standard Vorgaben'!$G$103</f>
        <v>20</v>
      </c>
      <c r="CR61" s="62">
        <f>'Standard Vorgaben'!$C$34</f>
        <v>41.4</v>
      </c>
      <c r="CS61" s="118">
        <f t="shared" si="71"/>
        <v>828</v>
      </c>
      <c r="CT61" s="271">
        <f t="shared" si="72"/>
        <v>2.8178982328076526E-2</v>
      </c>
      <c r="CU61" s="3"/>
      <c r="CV61" s="4" t="s">
        <v>99</v>
      </c>
      <c r="CW61" s="46"/>
      <c r="CX61" s="563">
        <f>'Standard Vorgaben'!$F$103+'Standard Vorgaben'!$G$103</f>
        <v>20</v>
      </c>
      <c r="CY61" s="62">
        <f>'Standard Vorgaben'!$C$34</f>
        <v>41.4</v>
      </c>
      <c r="CZ61" s="118">
        <f t="shared" si="73"/>
        <v>828</v>
      </c>
      <c r="DA61" s="271">
        <f t="shared" si="74"/>
        <v>2.8176258620517976E-2</v>
      </c>
      <c r="DB61" s="3"/>
      <c r="DC61" s="4" t="s">
        <v>99</v>
      </c>
      <c r="DD61" s="46"/>
      <c r="DE61" s="563">
        <f>'Standard Vorgaben'!$F$103+'Standard Vorgaben'!$G$103</f>
        <v>20</v>
      </c>
      <c r="DF61" s="62">
        <f>'Standard Vorgaben'!$C$34</f>
        <v>41.4</v>
      </c>
      <c r="DG61" s="118">
        <f>DE61*DF61</f>
        <v>828</v>
      </c>
      <c r="DH61" s="271">
        <f t="shared" si="76"/>
        <v>2.8173510933201931E-2</v>
      </c>
      <c r="DI61" s="3"/>
      <c r="DJ61" s="4" t="s">
        <v>99</v>
      </c>
      <c r="DK61" s="46"/>
      <c r="DL61" s="563">
        <f>'Standard Vorgaben'!$F$103+'Standard Vorgaben'!$G$103</f>
        <v>20</v>
      </c>
      <c r="DM61" s="62">
        <f>'Standard Vorgaben'!$C$34</f>
        <v>41.4</v>
      </c>
      <c r="DN61" s="118">
        <f>DL61*DM61</f>
        <v>828</v>
      </c>
      <c r="DO61" s="271">
        <f t="shared" si="78"/>
        <v>2.8170739059799874E-2</v>
      </c>
      <c r="DP61" s="3"/>
      <c r="DQ61" s="4" t="s">
        <v>99</v>
      </c>
      <c r="DR61" s="46"/>
      <c r="DS61" s="563">
        <f>'Standard Vorgaben'!$F$103+'Standard Vorgaben'!$G$103</f>
        <v>20</v>
      </c>
      <c r="DT61" s="62">
        <f>'Standard Vorgaben'!$C$34</f>
        <v>41.4</v>
      </c>
      <c r="DU61" s="118">
        <f>DS61*DT61</f>
        <v>828</v>
      </c>
      <c r="DV61" s="271">
        <f t="shared" si="80"/>
        <v>2.8167942792293628E-2</v>
      </c>
      <c r="DW61" s="3"/>
      <c r="DX61" s="4" t="s">
        <v>99</v>
      </c>
      <c r="DY61" s="46"/>
      <c r="DZ61" s="563">
        <f>'Standard Vorgaben'!$F$103+'Standard Vorgaben'!$G$103</f>
        <v>20</v>
      </c>
      <c r="EA61" s="62">
        <f>'Standard Vorgaben'!$C$34</f>
        <v>41.4</v>
      </c>
      <c r="EB61" s="118">
        <f>DZ61*EA61</f>
        <v>828</v>
      </c>
      <c r="EC61" s="271">
        <f t="shared" si="82"/>
        <v>2.8165121920963074E-2</v>
      </c>
      <c r="ED61" s="3"/>
      <c r="EE61" s="4" t="s">
        <v>99</v>
      </c>
      <c r="EF61" s="46"/>
      <c r="EG61" s="563">
        <f>'Standard Vorgaben'!$F$103+'Standard Vorgaben'!$G$103</f>
        <v>20</v>
      </c>
      <c r="EH61" s="62">
        <f>'Standard Vorgaben'!$C$34</f>
        <v>41.4</v>
      </c>
      <c r="EI61" s="118">
        <f>EG61*EH61</f>
        <v>828</v>
      </c>
      <c r="EJ61" s="271">
        <f t="shared" si="84"/>
        <v>2.3389148297786811E-2</v>
      </c>
    </row>
    <row r="62" spans="1:140" s="1" customFormat="1" x14ac:dyDescent="0.2">
      <c r="A62" s="156" t="s">
        <v>88</v>
      </c>
      <c r="B62" s="632">
        <f>('Standard Vorgaben'!$F$36*D56)+('Standard Vorgaben'!$F$36*D60)</f>
        <v>0</v>
      </c>
      <c r="C62" s="156" t="s">
        <v>86</v>
      </c>
      <c r="D62" s="633">
        <f>SUM(D52:D61)</f>
        <v>147</v>
      </c>
      <c r="E62" s="62"/>
      <c r="F62" s="77">
        <f>SUM(F52:F61)</f>
        <v>4552.5</v>
      </c>
      <c r="G62" s="271">
        <f t="shared" si="48"/>
        <v>0.44835308457243078</v>
      </c>
      <c r="H62" s="156" t="s">
        <v>88</v>
      </c>
      <c r="I62" s="632">
        <f>('Standard Vorgaben'!$F$36*K56)+('Standard Vorgaben'!$F$36*K60)</f>
        <v>34.340000000000003</v>
      </c>
      <c r="J62" s="156" t="s">
        <v>86</v>
      </c>
      <c r="K62" s="633">
        <f>SUM(K52:K61)</f>
        <v>192.4</v>
      </c>
      <c r="L62" s="62"/>
      <c r="M62" s="77">
        <f>SUM(M52:M61)</f>
        <v>5652.4720000000007</v>
      </c>
      <c r="N62" s="271">
        <f t="shared" si="49"/>
        <v>0.45421288115535724</v>
      </c>
      <c r="O62" s="156" t="s">
        <v>88</v>
      </c>
      <c r="P62" s="632">
        <f>('Standard Vorgaben'!$F$36*R56)+('Standard Vorgaben'!$F$36*R60)</f>
        <v>62.9</v>
      </c>
      <c r="Q62" s="156" t="s">
        <v>86</v>
      </c>
      <c r="R62" s="633">
        <f>SUM(R52:R61)</f>
        <v>342</v>
      </c>
      <c r="S62" s="62"/>
      <c r="T62" s="77">
        <f>SUM(T52:T61)</f>
        <v>10224.52</v>
      </c>
      <c r="U62" s="271">
        <f t="shared" si="50"/>
        <v>0.55731044460138357</v>
      </c>
      <c r="V62" s="156" t="s">
        <v>88</v>
      </c>
      <c r="W62" s="632">
        <f>('Standard Vorgaben'!$F$36*Y56)+('Standard Vorgaben'!$F$36*Y60)</f>
        <v>91.8</v>
      </c>
      <c r="X62" s="156" t="s">
        <v>86</v>
      </c>
      <c r="Y62" s="633">
        <f>SUM(Y52:Y61)</f>
        <v>379</v>
      </c>
      <c r="Z62" s="62"/>
      <c r="AA62" s="77">
        <f>SUM(AA52:AA61)</f>
        <v>11110.74</v>
      </c>
      <c r="AB62" s="271">
        <f t="shared" si="52"/>
        <v>0.54611008368229574</v>
      </c>
      <c r="AC62" s="156" t="s">
        <v>88</v>
      </c>
      <c r="AD62" s="632">
        <f>('Standard Vorgaben'!$F$36*AF56)+('Standard Vorgaben'!$F$36*AF60)</f>
        <v>149.6</v>
      </c>
      <c r="AE62" s="156" t="s">
        <v>86</v>
      </c>
      <c r="AF62" s="633">
        <f>SUM(AF52:AF61)</f>
        <v>461</v>
      </c>
      <c r="AG62" s="62"/>
      <c r="AH62" s="77">
        <f>SUM(AH52:AH61)</f>
        <v>13144.779999999999</v>
      </c>
      <c r="AI62" s="271">
        <f t="shared" si="54"/>
        <v>0.49448954224354369</v>
      </c>
      <c r="AJ62" s="156" t="s">
        <v>88</v>
      </c>
      <c r="AK62" s="632">
        <f>('Standard Vorgaben'!$F$36*AM56)+('Standard Vorgaben'!$F$36*AM60)</f>
        <v>218.95999999999998</v>
      </c>
      <c r="AL62" s="156" t="s">
        <v>86</v>
      </c>
      <c r="AM62" s="633">
        <f>SUM(AM52:AM61)</f>
        <v>543.6</v>
      </c>
      <c r="AN62" s="62"/>
      <c r="AO62" s="77">
        <f>SUM(AO52:AO61)</f>
        <v>15068.968000000001</v>
      </c>
      <c r="AP62" s="271">
        <f t="shared" si="56"/>
        <v>0.51321725471672031</v>
      </c>
      <c r="AQ62" s="156" t="s">
        <v>88</v>
      </c>
      <c r="AR62" s="632">
        <f>('Standard Vorgaben'!$F$36*AT56)+('Standard Vorgaben'!$F$36*AT60)</f>
        <v>218.95999999999998</v>
      </c>
      <c r="AS62" s="156" t="s">
        <v>86</v>
      </c>
      <c r="AT62" s="633">
        <f>SUM(AT52:AT61)</f>
        <v>543.6</v>
      </c>
      <c r="AU62" s="62"/>
      <c r="AV62" s="77">
        <f>SUM(AV52:AV61)</f>
        <v>15068.968000000001</v>
      </c>
      <c r="AW62" s="271">
        <f t="shared" si="58"/>
        <v>0.51317104506067868</v>
      </c>
      <c r="AX62" s="156" t="s">
        <v>88</v>
      </c>
      <c r="AY62" s="632">
        <f>('Standard Vorgaben'!$F$36*BA56)+('Standard Vorgaben'!$F$36*BA60)</f>
        <v>218.95999999999998</v>
      </c>
      <c r="AZ62" s="156" t="s">
        <v>86</v>
      </c>
      <c r="BA62" s="633">
        <f>SUM(BA52:BA61)</f>
        <v>543.6</v>
      </c>
      <c r="BB62" s="62"/>
      <c r="BC62" s="77">
        <f>SUM(BC52:BC61)</f>
        <v>15068.968000000001</v>
      </c>
      <c r="BD62" s="271">
        <f t="shared" si="60"/>
        <v>0.51312442795100022</v>
      </c>
      <c r="BE62" s="156" t="s">
        <v>88</v>
      </c>
      <c r="BF62" s="632">
        <f>('Standard Vorgaben'!$F$36*BH56)+('Standard Vorgaben'!$F$36*BH60)</f>
        <v>218.95999999999998</v>
      </c>
      <c r="BG62" s="156" t="s">
        <v>86</v>
      </c>
      <c r="BH62" s="633">
        <f>SUM(BH52:BH61)</f>
        <v>543.6</v>
      </c>
      <c r="BI62" s="62"/>
      <c r="BJ62" s="77">
        <f>SUM(BJ52:BJ61)</f>
        <v>15068.968000000001</v>
      </c>
      <c r="BK62" s="271">
        <f t="shared" si="62"/>
        <v>0.5130773998707443</v>
      </c>
      <c r="BL62" s="156" t="s">
        <v>88</v>
      </c>
      <c r="BM62" s="632">
        <f>('Standard Vorgaben'!$F$36*BO56)+('Standard Vorgaben'!$F$36*BO60)</f>
        <v>218.95999999999998</v>
      </c>
      <c r="BN62" s="156" t="s">
        <v>86</v>
      </c>
      <c r="BO62" s="633">
        <f>SUM(BO52:BO61)</f>
        <v>543.6</v>
      </c>
      <c r="BP62" s="62"/>
      <c r="BQ62" s="77">
        <f>SUM(BQ52:BQ61)</f>
        <v>15068.968000000001</v>
      </c>
      <c r="BR62" s="271">
        <f t="shared" si="64"/>
        <v>0.51302995727396983</v>
      </c>
      <c r="BS62" s="156" t="s">
        <v>88</v>
      </c>
      <c r="BT62" s="632">
        <f>('Standard Vorgaben'!$F$36*BV56)+('Standard Vorgaben'!$F$36*BV60)</f>
        <v>218.95999999999998</v>
      </c>
      <c r="BU62" s="156" t="s">
        <v>86</v>
      </c>
      <c r="BV62" s="633">
        <f>SUM(BV52:BV61)</f>
        <v>543.6</v>
      </c>
      <c r="BW62" s="62"/>
      <c r="BX62" s="77">
        <f>SUM(BX52:BX61)</f>
        <v>15068.968000000001</v>
      </c>
      <c r="BY62" s="271">
        <f t="shared" si="66"/>
        <v>0.51298209658552041</v>
      </c>
      <c r="BZ62" s="156" t="s">
        <v>88</v>
      </c>
      <c r="CA62" s="632">
        <f>('Standard Vorgaben'!$F$36*CC56)+('Standard Vorgaben'!$F$36*CC60)</f>
        <v>218.95999999999998</v>
      </c>
      <c r="CB62" s="156" t="s">
        <v>86</v>
      </c>
      <c r="CC62" s="633">
        <f>SUM(CC52:CC61)</f>
        <v>543.6</v>
      </c>
      <c r="CD62" s="62"/>
      <c r="CE62" s="77">
        <f>SUM(CE52:CE61)</f>
        <v>15068.968000000001</v>
      </c>
      <c r="CF62" s="271">
        <f t="shared" si="68"/>
        <v>0.51293381420080819</v>
      </c>
      <c r="CG62" s="156" t="s">
        <v>88</v>
      </c>
      <c r="CH62" s="632">
        <f>('Standard Vorgaben'!$F$36*CJ56)+('Standard Vorgaben'!$F$36*CJ60)</f>
        <v>218.95999999999998</v>
      </c>
      <c r="CI62" s="156" t="s">
        <v>86</v>
      </c>
      <c r="CJ62" s="633">
        <f>SUM(CJ52:CJ61)</f>
        <v>543.6</v>
      </c>
      <c r="CK62" s="62"/>
      <c r="CL62" s="77">
        <f>SUM(CL52:CL61)</f>
        <v>15068.968000000001</v>
      </c>
      <c r="CM62" s="271">
        <f t="shared" si="70"/>
        <v>0.51288510648559749</v>
      </c>
      <c r="CN62" s="156" t="s">
        <v>88</v>
      </c>
      <c r="CO62" s="632">
        <f>('Standard Vorgaben'!$F$36*CQ56)+('Standard Vorgaben'!$F$36*CQ60)</f>
        <v>218.95999999999998</v>
      </c>
      <c r="CP62" s="156" t="s">
        <v>86</v>
      </c>
      <c r="CQ62" s="633">
        <f>SUM(CQ52:CQ61)</f>
        <v>543.6</v>
      </c>
      <c r="CR62" s="62"/>
      <c r="CS62" s="77">
        <f>SUM(CS52:CS61)</f>
        <v>15068.968000000001</v>
      </c>
      <c r="CT62" s="271">
        <f t="shared" si="72"/>
        <v>0.51283596977578594</v>
      </c>
      <c r="CU62" s="156" t="s">
        <v>88</v>
      </c>
      <c r="CV62" s="632">
        <f>('Standard Vorgaben'!$F$36*CX56)+('Standard Vorgaben'!$F$36*CX60)</f>
        <v>218.95999999999998</v>
      </c>
      <c r="CW62" s="156" t="s">
        <v>86</v>
      </c>
      <c r="CX62" s="633">
        <f>SUM(CX52:CX61)</f>
        <v>543.6</v>
      </c>
      <c r="CY62" s="62"/>
      <c r="CZ62" s="77">
        <f>SUM(CZ52:CZ61)</f>
        <v>15068.968000000001</v>
      </c>
      <c r="DA62" s="271">
        <f t="shared" si="74"/>
        <v>0.51278640037718548</v>
      </c>
      <c r="DB62" s="156" t="s">
        <v>88</v>
      </c>
      <c r="DC62" s="632">
        <f>('Standard Vorgaben'!$F$36*DE56)+('Standard Vorgaben'!$F$36*DE60)</f>
        <v>218.95999999999998</v>
      </c>
      <c r="DD62" s="156" t="s">
        <v>86</v>
      </c>
      <c r="DE62" s="633">
        <f>SUM(DE52:DE61)</f>
        <v>543.6</v>
      </c>
      <c r="DF62" s="62"/>
      <c r="DG62" s="77">
        <f>SUM(DG52:DG61)</f>
        <v>15068.968000000001</v>
      </c>
      <c r="DH62" s="271">
        <f t="shared" si="76"/>
        <v>0.51273639456530207</v>
      </c>
      <c r="DI62" s="156" t="s">
        <v>88</v>
      </c>
      <c r="DJ62" s="632">
        <f>('Standard Vorgaben'!$F$36*DL56)+('Standard Vorgaben'!$F$36*DL60)</f>
        <v>218.95999999999998</v>
      </c>
      <c r="DK62" s="156" t="s">
        <v>86</v>
      </c>
      <c r="DL62" s="633">
        <f>SUM(DL52:DL61)</f>
        <v>543.6</v>
      </c>
      <c r="DM62" s="62"/>
      <c r="DN62" s="77">
        <f>SUM(DN52:DN61)</f>
        <v>15068.968000000001</v>
      </c>
      <c r="DO62" s="271">
        <f t="shared" si="78"/>
        <v>0.51268594858511407</v>
      </c>
      <c r="DP62" s="156" t="s">
        <v>88</v>
      </c>
      <c r="DQ62" s="632">
        <f>('Standard Vorgaben'!$F$36*DS56)+('Standard Vorgaben'!$F$36*DS60)</f>
        <v>218.95999999999998</v>
      </c>
      <c r="DR62" s="156" t="s">
        <v>86</v>
      </c>
      <c r="DS62" s="633">
        <f>SUM(DS52:DS61)</f>
        <v>543.6</v>
      </c>
      <c r="DT62" s="62"/>
      <c r="DU62" s="77">
        <f>SUM(DU52:DU61)</f>
        <v>15068.968000000001</v>
      </c>
      <c r="DV62" s="271">
        <f t="shared" si="80"/>
        <v>0.51263505865084946</v>
      </c>
      <c r="DW62" s="156" t="s">
        <v>88</v>
      </c>
      <c r="DX62" s="632">
        <f>('Standard Vorgaben'!$F$36*DZ56)+('Standard Vorgaben'!$F$36*DZ60)</f>
        <v>218.95999999999998</v>
      </c>
      <c r="DY62" s="156" t="s">
        <v>86</v>
      </c>
      <c r="DZ62" s="633">
        <f>SUM(DZ52:DZ61)</f>
        <v>543.6</v>
      </c>
      <c r="EA62" s="62"/>
      <c r="EB62" s="77">
        <f>SUM(EB52:EB61)</f>
        <v>15068.968000000001</v>
      </c>
      <c r="EC62" s="271">
        <f t="shared" si="82"/>
        <v>0.51258372094576221</v>
      </c>
      <c r="ED62" s="156" t="s">
        <v>88</v>
      </c>
      <c r="EE62" s="632">
        <f>('Standard Vorgaben'!$F$36*EG56)+('Standard Vorgaben'!$F$36*EG60)</f>
        <v>218.95999999999998</v>
      </c>
      <c r="EF62" s="156" t="s">
        <v>86</v>
      </c>
      <c r="EG62" s="633">
        <f>SUM(EG52:EG61)</f>
        <v>543.6</v>
      </c>
      <c r="EH62" s="62"/>
      <c r="EI62" s="77">
        <f>SUM(EI52:EI61)</f>
        <v>15068.968000000001</v>
      </c>
      <c r="EJ62" s="271">
        <f t="shared" si="84"/>
        <v>0.42566464643309654</v>
      </c>
    </row>
    <row r="63" spans="1:140" s="1" customFormat="1" ht="18" customHeight="1" x14ac:dyDescent="0.2">
      <c r="A63" s="3" t="s">
        <v>67</v>
      </c>
      <c r="B63" s="4" t="s">
        <v>65</v>
      </c>
      <c r="C63" s="46"/>
      <c r="D63" s="46"/>
      <c r="E63" s="62"/>
      <c r="F63" s="43">
        <f>'Standard Vorgaben'!$C$44</f>
        <v>660</v>
      </c>
      <c r="G63" s="271">
        <f t="shared" si="48"/>
        <v>6.5000117697485857E-2</v>
      </c>
      <c r="H63" s="3" t="s">
        <v>67</v>
      </c>
      <c r="I63" s="4" t="s">
        <v>65</v>
      </c>
      <c r="J63" s="46"/>
      <c r="K63" s="46"/>
      <c r="L63" s="62"/>
      <c r="M63" s="43">
        <f>'Standard Vorgaben'!$C$44</f>
        <v>660</v>
      </c>
      <c r="N63" s="271">
        <f t="shared" si="49"/>
        <v>5.3035291738293577E-2</v>
      </c>
      <c r="O63" s="3" t="s">
        <v>67</v>
      </c>
      <c r="P63" s="4" t="s">
        <v>65</v>
      </c>
      <c r="Q63" s="46"/>
      <c r="R63" s="46"/>
      <c r="S63" s="62"/>
      <c r="T63" s="43">
        <f>'Standard Vorgaben'!$C$44</f>
        <v>660</v>
      </c>
      <c r="U63" s="271">
        <f t="shared" si="50"/>
        <v>3.5974783504449416E-2</v>
      </c>
      <c r="V63" s="3" t="s">
        <v>67</v>
      </c>
      <c r="W63" s="4" t="s">
        <v>65</v>
      </c>
      <c r="X63" s="46"/>
      <c r="Y63" s="46"/>
      <c r="Z63" s="62"/>
      <c r="AA63" s="43">
        <f>'Standard Vorgaben'!$C$44</f>
        <v>660</v>
      </c>
      <c r="AB63" s="271">
        <f t="shared" si="52"/>
        <v>3.2440022467478777E-2</v>
      </c>
      <c r="AC63" s="3" t="s">
        <v>67</v>
      </c>
      <c r="AD63" s="4" t="s">
        <v>65</v>
      </c>
      <c r="AE63" s="46"/>
      <c r="AF63" s="46"/>
      <c r="AG63" s="62"/>
      <c r="AH63" s="43">
        <f>'Standard Vorgaben'!$C$44</f>
        <v>660</v>
      </c>
      <c r="AI63" s="271">
        <f t="shared" si="54"/>
        <v>2.4828342344317581E-2</v>
      </c>
      <c r="AJ63" s="3" t="s">
        <v>67</v>
      </c>
      <c r="AK63" s="4" t="s">
        <v>65</v>
      </c>
      <c r="AL63" s="46"/>
      <c r="AM63" s="46"/>
      <c r="AN63" s="62"/>
      <c r="AO63" s="43">
        <f>'Standard Vorgaben'!$C$44</f>
        <v>660</v>
      </c>
      <c r="AP63" s="271">
        <f t="shared" si="56"/>
        <v>2.2478207406972751E-2</v>
      </c>
      <c r="AQ63" s="3" t="s">
        <v>67</v>
      </c>
      <c r="AR63" s="4" t="s">
        <v>65</v>
      </c>
      <c r="AS63" s="46"/>
      <c r="AT63" s="46"/>
      <c r="AU63" s="62"/>
      <c r="AV63" s="43">
        <f>'Standard Vorgaben'!$C$44</f>
        <v>660</v>
      </c>
      <c r="AW63" s="271">
        <f t="shared" si="58"/>
        <v>2.2476183487817342E-2</v>
      </c>
      <c r="AX63" s="3" t="s">
        <v>67</v>
      </c>
      <c r="AY63" s="4" t="s">
        <v>65</v>
      </c>
      <c r="AZ63" s="46"/>
      <c r="BA63" s="46"/>
      <c r="BB63" s="62"/>
      <c r="BC63" s="43">
        <f>'Standard Vorgaben'!$C$44</f>
        <v>660</v>
      </c>
      <c r="BD63" s="271">
        <f t="shared" si="60"/>
        <v>2.2474141722755012E-2</v>
      </c>
      <c r="BE63" s="3" t="s">
        <v>67</v>
      </c>
      <c r="BF63" s="4" t="s">
        <v>65</v>
      </c>
      <c r="BG63" s="46"/>
      <c r="BH63" s="46"/>
      <c r="BI63" s="62"/>
      <c r="BJ63" s="43">
        <f>'Standard Vorgaben'!$C$44</f>
        <v>660</v>
      </c>
      <c r="BK63" s="271">
        <f t="shared" si="62"/>
        <v>2.2472081957748614E-2</v>
      </c>
      <c r="BL63" s="3" t="s">
        <v>67</v>
      </c>
      <c r="BM63" s="4" t="s">
        <v>65</v>
      </c>
      <c r="BN63" s="46"/>
      <c r="BO63" s="46"/>
      <c r="BP63" s="62"/>
      <c r="BQ63" s="43">
        <f>'Standard Vorgaben'!$C$44</f>
        <v>660</v>
      </c>
      <c r="BR63" s="271">
        <f t="shared" si="64"/>
        <v>2.2470004037490828E-2</v>
      </c>
      <c r="BS63" s="3" t="s">
        <v>67</v>
      </c>
      <c r="BT63" s="4" t="s">
        <v>65</v>
      </c>
      <c r="BU63" s="46"/>
      <c r="BV63" s="46"/>
      <c r="BW63" s="62"/>
      <c r="BX63" s="43">
        <f>'Standard Vorgaben'!$C$44</f>
        <v>660</v>
      </c>
      <c r="BY63" s="271">
        <f t="shared" si="66"/>
        <v>2.2467907805394729E-2</v>
      </c>
      <c r="BZ63" s="3" t="s">
        <v>67</v>
      </c>
      <c r="CA63" s="4" t="s">
        <v>65</v>
      </c>
      <c r="CB63" s="46"/>
      <c r="CC63" s="46"/>
      <c r="CD63" s="62"/>
      <c r="CE63" s="43">
        <f>'Standard Vorgaben'!$C$44</f>
        <v>660</v>
      </c>
      <c r="CF63" s="271">
        <f t="shared" si="68"/>
        <v>2.2465793103584358E-2</v>
      </c>
      <c r="CG63" s="3" t="s">
        <v>67</v>
      </c>
      <c r="CH63" s="4" t="s">
        <v>65</v>
      </c>
      <c r="CI63" s="46"/>
      <c r="CJ63" s="46"/>
      <c r="CK63" s="62"/>
      <c r="CL63" s="43">
        <f>'Standard Vorgaben'!$C$44</f>
        <v>660</v>
      </c>
      <c r="CM63" s="271">
        <f t="shared" si="70"/>
        <v>2.2463659772885197E-2</v>
      </c>
      <c r="CN63" s="3" t="s">
        <v>67</v>
      </c>
      <c r="CO63" s="4" t="s">
        <v>65</v>
      </c>
      <c r="CP63" s="46"/>
      <c r="CQ63" s="46"/>
      <c r="CR63" s="62"/>
      <c r="CS63" s="43">
        <f>'Standard Vorgaben'!$C$44</f>
        <v>660</v>
      </c>
      <c r="CT63" s="271">
        <f t="shared" si="72"/>
        <v>2.2461507652814624E-2</v>
      </c>
      <c r="CU63" s="3" t="s">
        <v>67</v>
      </c>
      <c r="CV63" s="4" t="s">
        <v>65</v>
      </c>
      <c r="CW63" s="46"/>
      <c r="CX63" s="46"/>
      <c r="CY63" s="62"/>
      <c r="CZ63" s="43">
        <f>'Standard Vorgaben'!$C$44</f>
        <v>660</v>
      </c>
      <c r="DA63" s="271">
        <f t="shared" si="74"/>
        <v>2.2459336581572301E-2</v>
      </c>
      <c r="DB63" s="3" t="s">
        <v>67</v>
      </c>
      <c r="DC63" s="4" t="s">
        <v>65</v>
      </c>
      <c r="DD63" s="46"/>
      <c r="DE63" s="46"/>
      <c r="DF63" s="62"/>
      <c r="DG63" s="43">
        <f>'Standard Vorgaben'!$C$44</f>
        <v>660</v>
      </c>
      <c r="DH63" s="271">
        <f t="shared" si="76"/>
        <v>2.2457146396030525E-2</v>
      </c>
      <c r="DI63" s="3" t="s">
        <v>67</v>
      </c>
      <c r="DJ63" s="4" t="s">
        <v>65</v>
      </c>
      <c r="DK63" s="46"/>
      <c r="DL63" s="46"/>
      <c r="DM63" s="62"/>
      <c r="DN63" s="43">
        <f>'Standard Vorgaben'!$C$44</f>
        <v>660</v>
      </c>
      <c r="DO63" s="271">
        <f t="shared" si="78"/>
        <v>2.2454936931724536E-2</v>
      </c>
      <c r="DP63" s="3" t="s">
        <v>67</v>
      </c>
      <c r="DQ63" s="4" t="s">
        <v>65</v>
      </c>
      <c r="DR63" s="46"/>
      <c r="DS63" s="46"/>
      <c r="DT63" s="62"/>
      <c r="DU63" s="43">
        <f>'Standard Vorgaben'!$C$44</f>
        <v>660</v>
      </c>
      <c r="DV63" s="271">
        <f t="shared" si="80"/>
        <v>2.2452708022842747E-2</v>
      </c>
      <c r="DW63" s="3" t="s">
        <v>67</v>
      </c>
      <c r="DX63" s="4" t="s">
        <v>65</v>
      </c>
      <c r="DY63" s="46"/>
      <c r="DZ63" s="46"/>
      <c r="EA63" s="62"/>
      <c r="EB63" s="43">
        <f>'Standard Vorgaben'!$C$44</f>
        <v>660</v>
      </c>
      <c r="EC63" s="271">
        <f t="shared" si="82"/>
        <v>2.2450459502216944E-2</v>
      </c>
      <c r="ED63" s="3" t="s">
        <v>67</v>
      </c>
      <c r="EE63" s="4" t="s">
        <v>65</v>
      </c>
      <c r="EF63" s="46"/>
      <c r="EG63" s="46"/>
      <c r="EH63" s="62"/>
      <c r="EI63" s="43">
        <f>'Standard Vorgaben'!$C$44</f>
        <v>660</v>
      </c>
      <c r="EJ63" s="271">
        <f t="shared" si="84"/>
        <v>1.8643524005482238E-2</v>
      </c>
    </row>
    <row r="64" spans="1:140" s="1" customFormat="1" x14ac:dyDescent="0.2">
      <c r="B64" s="1" t="s">
        <v>172</v>
      </c>
      <c r="C64" s="226">
        <f>'Standard Vorgaben'!$C$43</f>
        <v>0.6</v>
      </c>
      <c r="D64" s="227">
        <f>'Standard Vorgaben'!$C$42</f>
        <v>1.4999999999999999E-2</v>
      </c>
      <c r="E64" s="229">
        <f>(F70)*(-1)</f>
        <v>84975.307555555541</v>
      </c>
      <c r="F64" s="228">
        <f>D64*E64*C64</f>
        <v>764.77776799999981</v>
      </c>
      <c r="G64" s="271">
        <f t="shared" si="48"/>
        <v>7.5319158988515933E-2</v>
      </c>
      <c r="I64" s="1" t="s">
        <v>172</v>
      </c>
      <c r="J64" s="226">
        <f>'Standard Vorgaben'!$C$43</f>
        <v>0.6</v>
      </c>
      <c r="K64" s="227">
        <f>'Standard Vorgaben'!$C$42</f>
        <v>1.4999999999999999E-2</v>
      </c>
      <c r="L64" s="229">
        <f>(M70)*(-1)</f>
        <v>94029.135323555543</v>
      </c>
      <c r="M64" s="228">
        <f>K64*L64*J64</f>
        <v>846.26221791199987</v>
      </c>
      <c r="N64" s="271">
        <f t="shared" si="49"/>
        <v>6.8002672142512544E-2</v>
      </c>
      <c r="P64" s="1" t="s">
        <v>172</v>
      </c>
      <c r="Q64" s="226">
        <f>'Standard Vorgaben'!$C$43</f>
        <v>0.6</v>
      </c>
      <c r="R64" s="227">
        <f>'Standard Vorgaben'!$C$42</f>
        <v>1.4999999999999999E-2</v>
      </c>
      <c r="S64" s="229">
        <f>(T70)*(-1)</f>
        <v>102751.67891646754</v>
      </c>
      <c r="T64" s="228">
        <f>R64*S64*Q64</f>
        <v>924.76511024820775</v>
      </c>
      <c r="U64" s="271">
        <f t="shared" si="50"/>
        <v>5.0406400960072074E-2</v>
      </c>
      <c r="W64" s="1" t="s">
        <v>172</v>
      </c>
      <c r="X64" s="226">
        <f>'Standard Vorgaben'!$C$43</f>
        <v>0.6</v>
      </c>
      <c r="Y64" s="227">
        <f>'Standard Vorgaben'!$C$42</f>
        <v>1.4999999999999999E-2</v>
      </c>
      <c r="Z64" s="229">
        <f>(AA70)*(-1)</f>
        <v>115627.86298504908</v>
      </c>
      <c r="AA64" s="228">
        <f>Y64*Z64*X64</f>
        <v>1040.6507668654417</v>
      </c>
      <c r="AB64" s="271">
        <f t="shared" si="52"/>
        <v>5.1149597360475682E-2</v>
      </c>
      <c r="AD64" s="1" t="s">
        <v>172</v>
      </c>
      <c r="AE64" s="226">
        <f>'Standard Vorgaben'!$C$43</f>
        <v>0.6</v>
      </c>
      <c r="AF64" s="227">
        <f>'Standard Vorgaben'!$C$42</f>
        <v>1.4999999999999999E-2</v>
      </c>
      <c r="AG64" s="229">
        <f>(AH70)*(-1)</f>
        <v>126133.10166858119</v>
      </c>
      <c r="AH64" s="228">
        <f>AF64*AG64*AE64</f>
        <v>1135.1979150172306</v>
      </c>
      <c r="AI64" s="271">
        <f t="shared" si="54"/>
        <v>4.2704670397883844E-2</v>
      </c>
      <c r="AK64" s="1" t="s">
        <v>172</v>
      </c>
      <c r="AL64" s="226">
        <f>'Standard Vorgaben'!$C$43</f>
        <v>0.6</v>
      </c>
      <c r="AM64" s="227">
        <f>'Standard Vorgaben'!$C$42</f>
        <v>1.4999999999999999E-2</v>
      </c>
      <c r="AN64" s="229">
        <f>(AO70)*(-1)</f>
        <v>134135.62541693175</v>
      </c>
      <c r="AO64" s="228">
        <f>AM64*AN64*AL64</f>
        <v>1207.2206287523857</v>
      </c>
      <c r="AP64" s="271">
        <f t="shared" si="56"/>
        <v>4.1115387392533599E-2</v>
      </c>
      <c r="AR64" s="1" t="s">
        <v>172</v>
      </c>
      <c r="AS64" s="226">
        <f>'Standard Vorgaben'!$C$43</f>
        <v>0.6</v>
      </c>
      <c r="AT64" s="227">
        <f>'Standard Vorgaben'!$C$42</f>
        <v>1.4999999999999999E-2</v>
      </c>
      <c r="AU64" s="229">
        <f>(AV70)*(-1)</f>
        <v>134429.39737901746</v>
      </c>
      <c r="AV64" s="228">
        <f>AT64*AU64*AS64</f>
        <v>1209.864576411157</v>
      </c>
      <c r="AW64" s="271">
        <f t="shared" si="58"/>
        <v>4.1201724567920567E-2</v>
      </c>
      <c r="AY64" s="1" t="s">
        <v>172</v>
      </c>
      <c r="AZ64" s="226">
        <f>'Standard Vorgaben'!$C$43</f>
        <v>0.6</v>
      </c>
      <c r="BA64" s="227">
        <f>'Standard Vorgaben'!$C$42</f>
        <v>1.4999999999999999E-2</v>
      </c>
      <c r="BB64" s="229">
        <f>(BC70)*(-1)</f>
        <v>134725.81328876194</v>
      </c>
      <c r="BC64" s="228">
        <f>BA64*BB64*AZ64</f>
        <v>1212.5323195988574</v>
      </c>
      <c r="BD64" s="271">
        <f t="shared" si="60"/>
        <v>4.1288823021341813E-2</v>
      </c>
      <c r="BF64" s="1" t="s">
        <v>172</v>
      </c>
      <c r="BG64" s="226">
        <f>'Standard Vorgaben'!$C$43</f>
        <v>0.6</v>
      </c>
      <c r="BH64" s="227">
        <f>'Standard Vorgaben'!$C$42</f>
        <v>1.4999999999999999E-2</v>
      </c>
      <c r="BI64" s="229">
        <f>(BJ70)*(-1)</f>
        <v>135024.89694169414</v>
      </c>
      <c r="BJ64" s="228">
        <f>BH64*BI64*BG64</f>
        <v>1215.2240724752471</v>
      </c>
      <c r="BK64" s="271">
        <f t="shared" si="62"/>
        <v>4.1376689323776965E-2</v>
      </c>
      <c r="BM64" s="1" t="s">
        <v>172</v>
      </c>
      <c r="BN64" s="226">
        <f>'Standard Vorgaben'!$C$43</f>
        <v>0.6</v>
      </c>
      <c r="BO64" s="227">
        <f>'Standard Vorgaben'!$C$42</f>
        <v>1.4999999999999999E-2</v>
      </c>
      <c r="BP64" s="229">
        <f>(BQ70)*(-1)</f>
        <v>135326.67234750272</v>
      </c>
      <c r="BQ64" s="228">
        <f>BO64*BP64*BN64</f>
        <v>1217.9400511275244</v>
      </c>
      <c r="BR64" s="271">
        <f t="shared" si="64"/>
        <v>4.1465330100389788E-2</v>
      </c>
      <c r="BT64" s="1" t="s">
        <v>172</v>
      </c>
      <c r="BU64" s="226">
        <f>'Standard Vorgaben'!$C$43</f>
        <v>0.6</v>
      </c>
      <c r="BV64" s="227">
        <f>'Standard Vorgaben'!$C$42</f>
        <v>1.4999999999999999E-2</v>
      </c>
      <c r="BW64" s="229">
        <f>(BX70)*(-1)</f>
        <v>135631.16373196358</v>
      </c>
      <c r="BX64" s="228">
        <f>BV64*BW64*BU64</f>
        <v>1220.6804735876722</v>
      </c>
      <c r="BY64" s="271">
        <f t="shared" si="66"/>
        <v>4.1554752030929384E-2</v>
      </c>
      <c r="CA64" s="1" t="s">
        <v>172</v>
      </c>
      <c r="CB64" s="226">
        <f>'Standard Vorgaben'!$C$43</f>
        <v>0.6</v>
      </c>
      <c r="CC64" s="227">
        <f>'Standard Vorgaben'!$C$42</f>
        <v>1.4999999999999999E-2</v>
      </c>
      <c r="CD64" s="229">
        <f>(CE70)*(-1)</f>
        <v>135938.39553888459</v>
      </c>
      <c r="CE64" s="228">
        <f>CC64*CD64*CB64</f>
        <v>1223.4455598499612</v>
      </c>
      <c r="CF64" s="271">
        <f t="shared" si="68"/>
        <v>4.1644961850133583E-2</v>
      </c>
      <c r="CH64" s="1" t="s">
        <v>172</v>
      </c>
      <c r="CI64" s="226">
        <f>'Standard Vorgaben'!$C$43</f>
        <v>0.6</v>
      </c>
      <c r="CJ64" s="227">
        <f>'Standard Vorgaben'!$C$42</f>
        <v>1.4999999999999999E-2</v>
      </c>
      <c r="CK64" s="229">
        <f>(CL70)*(-1)</f>
        <v>136248.39243206789</v>
      </c>
      <c r="CL64" s="228">
        <f>CJ64*CK64*CI64</f>
        <v>1226.2355318886109</v>
      </c>
      <c r="CM64" s="271">
        <f t="shared" si="70"/>
        <v>4.1735966348134354E-2</v>
      </c>
      <c r="CO64" s="1" t="s">
        <v>172</v>
      </c>
      <c r="CP64" s="226">
        <f>'Standard Vorgaben'!$C$43</f>
        <v>0.6</v>
      </c>
      <c r="CQ64" s="227">
        <f>'Standard Vorgaben'!$C$42</f>
        <v>1.4999999999999999E-2</v>
      </c>
      <c r="CR64" s="229">
        <f>(CS70)*(-1)</f>
        <v>136561.17929728984</v>
      </c>
      <c r="CS64" s="228">
        <f>CQ64*CR64*CP64</f>
        <v>1229.0506136756085</v>
      </c>
      <c r="CT64" s="271">
        <f t="shared" si="72"/>
        <v>4.1827772370865435E-2</v>
      </c>
      <c r="CV64" s="1" t="s">
        <v>172</v>
      </c>
      <c r="CW64" s="226">
        <f>'Standard Vorgaben'!$C$43</f>
        <v>0.6</v>
      </c>
      <c r="CX64" s="227">
        <f>'Standard Vorgaben'!$C$42</f>
        <v>1.4999999999999999E-2</v>
      </c>
      <c r="CY64" s="229">
        <f>(CZ70)*(-1)</f>
        <v>136876.78124429879</v>
      </c>
      <c r="CZ64" s="228">
        <f>CX64*CY64*CW64</f>
        <v>1231.891031198689</v>
      </c>
      <c r="DA64" s="271">
        <f t="shared" si="74"/>
        <v>4.1920386820472028E-2</v>
      </c>
      <c r="DC64" s="1" t="s">
        <v>172</v>
      </c>
      <c r="DD64" s="226">
        <f>'Standard Vorgaben'!$C$43</f>
        <v>0.6</v>
      </c>
      <c r="DE64" s="227">
        <f>'Standard Vorgaben'!$C$42</f>
        <v>1.4999999999999999E-2</v>
      </c>
      <c r="DF64" s="229">
        <f>(DG70)*(-1)</f>
        <v>137195.22360883083</v>
      </c>
      <c r="DG64" s="228">
        <f>DE64*DF64*DD64</f>
        <v>1234.7570124794772</v>
      </c>
      <c r="DH64" s="271">
        <f t="shared" si="76"/>
        <v>4.201381665572259E-2</v>
      </c>
      <c r="DJ64" s="1" t="s">
        <v>172</v>
      </c>
      <c r="DK64" s="226">
        <f>'Standard Vorgaben'!$C$43</f>
        <v>0.6</v>
      </c>
      <c r="DL64" s="227">
        <f>'Standard Vorgaben'!$C$42</f>
        <v>1.4999999999999999E-2</v>
      </c>
      <c r="DM64" s="229">
        <f>(DN70)*(-1)</f>
        <v>137516.53195464364</v>
      </c>
      <c r="DN64" s="228">
        <f>DL64*DM64*DK64</f>
        <v>1237.6487875917926</v>
      </c>
      <c r="DO64" s="271">
        <f t="shared" si="78"/>
        <v>4.2108068892422787E-2</v>
      </c>
      <c r="DQ64" s="1" t="s">
        <v>172</v>
      </c>
      <c r="DR64" s="226">
        <f>'Standard Vorgaben'!$C$43</f>
        <v>0.6</v>
      </c>
      <c r="DS64" s="227">
        <f>'Standard Vorgaben'!$C$42</f>
        <v>1.4999999999999999E-2</v>
      </c>
      <c r="DT64" s="229">
        <f>(DU70)*(-1)</f>
        <v>137840.73207556875</v>
      </c>
      <c r="DU64" s="228">
        <f>DS64*DT64*DR64</f>
        <v>1240.5665886801187</v>
      </c>
      <c r="DV64" s="271">
        <f t="shared" si="80"/>
        <v>4.2203150603831452E-2</v>
      </c>
      <c r="DX64" s="1" t="s">
        <v>172</v>
      </c>
      <c r="DY64" s="226">
        <f>'Standard Vorgaben'!$C$43</f>
        <v>0.6</v>
      </c>
      <c r="DZ64" s="227">
        <f>'Standard Vorgaben'!$C$42</f>
        <v>1.4999999999999999E-2</v>
      </c>
      <c r="EA64" s="229">
        <f>(EB70)*(-1)</f>
        <v>138167.84999758221</v>
      </c>
      <c r="EB64" s="228">
        <f>DZ64*EA64*DY64</f>
        <v>1243.5106499782398</v>
      </c>
      <c r="EC64" s="271">
        <f t="shared" si="82"/>
        <v>4.2299068921078702E-2</v>
      </c>
      <c r="EE64" s="1" t="s">
        <v>172</v>
      </c>
      <c r="EF64" s="226">
        <f>'Standard Vorgaben'!$C$43</f>
        <v>0.6</v>
      </c>
      <c r="EG64" s="227">
        <f>'Standard Vorgaben'!$C$42</f>
        <v>1.4999999999999999E-2</v>
      </c>
      <c r="EH64" s="229">
        <f>(EI70)*(-1)</f>
        <v>138497.91198089378</v>
      </c>
      <c r="EI64" s="228">
        <f>EG64*EH64*EF64</f>
        <v>1246.481207828044</v>
      </c>
      <c r="EJ64" s="271">
        <f t="shared" si="84"/>
        <v>3.5210306546249445E-2</v>
      </c>
    </row>
    <row r="65" spans="1:249" x14ac:dyDescent="0.2">
      <c r="A65"/>
      <c r="B65"/>
      <c r="C65" s="226"/>
      <c r="D65" s="227"/>
      <c r="E65" s="229"/>
      <c r="F65" s="121">
        <f>SUM(F63:F64)</f>
        <v>1424.7777679999999</v>
      </c>
      <c r="G65" s="42">
        <f t="shared" si="48"/>
        <v>0.1403192766860018</v>
      </c>
      <c r="H65"/>
      <c r="I65"/>
      <c r="J65" s="226"/>
      <c r="K65" s="227"/>
      <c r="L65" s="229"/>
      <c r="M65" s="121">
        <f>SUM(M63:M64)</f>
        <v>1506.2622179119999</v>
      </c>
      <c r="N65" s="42">
        <f t="shared" si="49"/>
        <v>0.12103796388080612</v>
      </c>
      <c r="Q65" s="226"/>
      <c r="R65" s="227"/>
      <c r="S65" s="229"/>
      <c r="T65" s="121">
        <f>SUM(T63:T64)</f>
        <v>1584.7651102482077</v>
      </c>
      <c r="U65" s="42">
        <f t="shared" si="50"/>
        <v>8.638118446452149E-2</v>
      </c>
      <c r="X65" s="226"/>
      <c r="Y65" s="227"/>
      <c r="Z65" s="229"/>
      <c r="AA65" s="121">
        <f>SUM(AA63:AA64)</f>
        <v>1700.6507668654417</v>
      </c>
      <c r="AB65" s="42">
        <f t="shared" si="52"/>
        <v>8.3589619827954459E-2</v>
      </c>
      <c r="AE65" s="226"/>
      <c r="AF65" s="227"/>
      <c r="AG65" s="229"/>
      <c r="AH65" s="121">
        <f>SUM(AH63:AH64)</f>
        <v>1795.1979150172306</v>
      </c>
      <c r="AI65" s="42">
        <f t="shared" si="54"/>
        <v>6.7533012742201429E-2</v>
      </c>
      <c r="AL65" s="226"/>
      <c r="AM65" s="227"/>
      <c r="AN65" s="229"/>
      <c r="AO65" s="121">
        <f>SUM(AO63:AO64)</f>
        <v>1867.2206287523857</v>
      </c>
      <c r="AP65" s="42">
        <f t="shared" si="56"/>
        <v>6.3593594799506353E-2</v>
      </c>
      <c r="AS65" s="226"/>
      <c r="AT65" s="227"/>
      <c r="AU65" s="229"/>
      <c r="AV65" s="121">
        <f>SUM(AV63:AV64)</f>
        <v>1869.864576411157</v>
      </c>
      <c r="AW65" s="42">
        <f t="shared" si="58"/>
        <v>6.3677908055737906E-2</v>
      </c>
      <c r="AZ65" s="226"/>
      <c r="BA65" s="227"/>
      <c r="BB65" s="229"/>
      <c r="BC65" s="121">
        <f>SUM(BC63:BC64)</f>
        <v>1872.5323195988574</v>
      </c>
      <c r="BD65" s="42">
        <f t="shared" si="60"/>
        <v>6.3762964744096831E-2</v>
      </c>
      <c r="BG65" s="226"/>
      <c r="BH65" s="227"/>
      <c r="BI65" s="229"/>
      <c r="BJ65" s="121">
        <f>SUM(BJ63:BJ64)</f>
        <v>1875.2240724752471</v>
      </c>
      <c r="BK65" s="42">
        <f t="shared" si="62"/>
        <v>6.3848771281525579E-2</v>
      </c>
      <c r="BN65" s="226"/>
      <c r="BO65" s="227"/>
      <c r="BP65" s="229"/>
      <c r="BQ65" s="121">
        <f>SUM(BQ63:BQ64)</f>
        <v>1877.9400511275244</v>
      </c>
      <c r="BR65" s="42">
        <f t="shared" si="64"/>
        <v>6.393533413788062E-2</v>
      </c>
      <c r="BU65" s="226"/>
      <c r="BV65" s="227"/>
      <c r="BW65" s="229"/>
      <c r="BX65" s="121">
        <f>SUM(BX63:BX64)</f>
        <v>1880.6804735876722</v>
      </c>
      <c r="BY65" s="42">
        <f t="shared" si="66"/>
        <v>6.4022659836324117E-2</v>
      </c>
      <c r="CB65" s="226"/>
      <c r="CC65" s="227"/>
      <c r="CD65" s="229"/>
      <c r="CE65" s="121">
        <f>SUM(CE63:CE64)</f>
        <v>1883.4455598499612</v>
      </c>
      <c r="CF65" s="42">
        <f t="shared" si="68"/>
        <v>6.4110754953717944E-2</v>
      </c>
      <c r="CI65" s="226"/>
      <c r="CJ65" s="227"/>
      <c r="CK65" s="229"/>
      <c r="CL65" s="121">
        <f>SUM(CL63:CL64)</f>
        <v>1886.2355318886109</v>
      </c>
      <c r="CM65" s="42">
        <f t="shared" si="70"/>
        <v>6.4199626121019551E-2</v>
      </c>
      <c r="CP65" s="226"/>
      <c r="CQ65" s="227"/>
      <c r="CR65" s="229"/>
      <c r="CS65" s="121">
        <f>SUM(CS63:CS64)</f>
        <v>1889.0506136756085</v>
      </c>
      <c r="CT65" s="42">
        <f t="shared" si="72"/>
        <v>6.4289280023680062E-2</v>
      </c>
      <c r="CW65" s="226"/>
      <c r="CX65" s="227"/>
      <c r="CY65" s="229"/>
      <c r="CZ65" s="121">
        <f>SUM(CZ63:CZ64)</f>
        <v>1891.891031198689</v>
      </c>
      <c r="DA65" s="42">
        <f t="shared" si="74"/>
        <v>6.4379723402044328E-2</v>
      </c>
      <c r="DD65" s="226"/>
      <c r="DE65" s="227"/>
      <c r="DF65" s="229"/>
      <c r="DG65" s="121">
        <f>SUM(DG63:DG64)</f>
        <v>1894.7570124794772</v>
      </c>
      <c r="DH65" s="271">
        <f t="shared" si="76"/>
        <v>6.4470963051753122E-2</v>
      </c>
      <c r="DK65" s="226"/>
      <c r="DL65" s="227"/>
      <c r="DM65" s="229"/>
      <c r="DN65" s="121">
        <f>SUM(DN63:DN64)</f>
        <v>1897.6487875917926</v>
      </c>
      <c r="DO65" s="271">
        <f t="shared" si="78"/>
        <v>6.4563005824147326E-2</v>
      </c>
      <c r="DR65" s="226"/>
      <c r="DS65" s="227"/>
      <c r="DT65" s="229"/>
      <c r="DU65" s="121">
        <f>SUM(DU63:DU64)</f>
        <v>1900.5665886801187</v>
      </c>
      <c r="DV65" s="271">
        <f t="shared" si="80"/>
        <v>6.4655858626674195E-2</v>
      </c>
      <c r="DY65" s="226"/>
      <c r="DZ65" s="227"/>
      <c r="EA65" s="229"/>
      <c r="EB65" s="121">
        <f>SUM(EB63:EB64)</f>
        <v>1903.5106499782398</v>
      </c>
      <c r="EC65" s="271">
        <f t="shared" si="82"/>
        <v>6.4749528423295635E-2</v>
      </c>
      <c r="EF65" s="226"/>
      <c r="EG65" s="227"/>
      <c r="EH65" s="229"/>
      <c r="EI65" s="121">
        <f>SUM(EI63:EI64)</f>
        <v>1906.481207828044</v>
      </c>
      <c r="EJ65" s="271">
        <f t="shared" si="84"/>
        <v>5.3853830551731686E-2</v>
      </c>
    </row>
    <row r="66" spans="1:249" ht="13.5" thickBot="1" x14ac:dyDescent="0.25">
      <c r="A66" s="614" t="s">
        <v>35</v>
      </c>
      <c r="B66" s="615"/>
      <c r="C66" s="442"/>
      <c r="D66" s="634"/>
      <c r="E66" s="559"/>
      <c r="F66" s="618">
        <f>F65+F62+F50+F37</f>
        <v>7827.0277679999999</v>
      </c>
      <c r="G66" s="42">
        <f t="shared" si="48"/>
        <v>0.77084503960831818</v>
      </c>
      <c r="H66" s="614" t="s">
        <v>35</v>
      </c>
      <c r="I66" s="615"/>
      <c r="J66" s="442"/>
      <c r="K66" s="634"/>
      <c r="L66" s="559"/>
      <c r="M66" s="618">
        <f>M65+M62+M50+M37</f>
        <v>9465.4935929120002</v>
      </c>
      <c r="N66" s="271">
        <f t="shared" si="49"/>
        <v>0.76061396082884325</v>
      </c>
      <c r="O66" s="614" t="s">
        <v>35</v>
      </c>
      <c r="P66" s="615"/>
      <c r="Q66" s="442"/>
      <c r="R66" s="634"/>
      <c r="S66" s="559"/>
      <c r="T66" s="618">
        <f>T65+T62+T50+T37</f>
        <v>14622.384068581543</v>
      </c>
      <c r="U66" s="42">
        <f t="shared" si="50"/>
        <v>0.79702591088807762</v>
      </c>
      <c r="V66" s="614" t="s">
        <v>35</v>
      </c>
      <c r="W66" s="615"/>
      <c r="X66" s="442"/>
      <c r="Y66" s="634"/>
      <c r="Z66" s="559"/>
      <c r="AA66" s="618">
        <f>AA65+AA62+AA50+AA37</f>
        <v>16045.438683532107</v>
      </c>
      <c r="AB66" s="42">
        <f t="shared" si="52"/>
        <v>0.78865816877929495</v>
      </c>
      <c r="AC66" s="614" t="s">
        <v>35</v>
      </c>
      <c r="AD66" s="615"/>
      <c r="AE66" s="442"/>
      <c r="AF66" s="634"/>
      <c r="AG66" s="559"/>
      <c r="AH66" s="618">
        <f>AH65+AH62+AH50+AH37</f>
        <v>19557.723748350563</v>
      </c>
      <c r="AI66" s="42">
        <f t="shared" si="54"/>
        <v>0.73573615257520886</v>
      </c>
      <c r="AJ66" s="614" t="s">
        <v>35</v>
      </c>
      <c r="AK66" s="615"/>
      <c r="AL66" s="442"/>
      <c r="AM66" s="634"/>
      <c r="AN66" s="559"/>
      <c r="AO66" s="618">
        <f>AO65+AO62+AO50+AO37</f>
        <v>21956.971962085718</v>
      </c>
      <c r="AP66" s="42">
        <f t="shared" si="56"/>
        <v>0.74780813604977003</v>
      </c>
      <c r="AQ66" s="614" t="s">
        <v>35</v>
      </c>
      <c r="AR66" s="615"/>
      <c r="AS66" s="442"/>
      <c r="AT66" s="634"/>
      <c r="AU66" s="559"/>
      <c r="AV66" s="618">
        <f>AV65+AV62+AV50+AV37</f>
        <v>21959.615909744491</v>
      </c>
      <c r="AW66" s="42">
        <f t="shared" si="58"/>
        <v>0.74783084319607596</v>
      </c>
      <c r="AX66" s="614" t="s">
        <v>35</v>
      </c>
      <c r="AY66" s="615"/>
      <c r="AZ66" s="442"/>
      <c r="BA66" s="634"/>
      <c r="BB66" s="559"/>
      <c r="BC66" s="618">
        <f>BC65+BC62+BC50+BC37</f>
        <v>21962.28365293219</v>
      </c>
      <c r="BD66" s="42">
        <f t="shared" si="60"/>
        <v>0.74785375056264192</v>
      </c>
      <c r="BE66" s="614" t="s">
        <v>35</v>
      </c>
      <c r="BF66" s="615"/>
      <c r="BG66" s="442"/>
      <c r="BH66" s="634"/>
      <c r="BI66" s="559"/>
      <c r="BJ66" s="618">
        <f>BJ65+BJ62+BJ50+BJ37</f>
        <v>21964.975405808582</v>
      </c>
      <c r="BK66" s="42">
        <f t="shared" si="62"/>
        <v>0.74787685987767138</v>
      </c>
      <c r="BL66" s="614" t="s">
        <v>35</v>
      </c>
      <c r="BM66" s="615"/>
      <c r="BN66" s="442"/>
      <c r="BO66" s="634"/>
      <c r="BP66" s="559"/>
      <c r="BQ66" s="618">
        <f>BQ65+BQ62+BQ50+BQ37</f>
        <v>21967.691384460857</v>
      </c>
      <c r="BR66" s="42">
        <f t="shared" si="64"/>
        <v>0.7479001728836181</v>
      </c>
      <c r="BS66" s="614" t="s">
        <v>35</v>
      </c>
      <c r="BT66" s="615"/>
      <c r="BU66" s="442"/>
      <c r="BV66" s="634"/>
      <c r="BW66" s="559"/>
      <c r="BX66" s="618">
        <f>BX65+BX62+BX50+BX37</f>
        <v>21970.431806921006</v>
      </c>
      <c r="BY66" s="42">
        <f t="shared" si="66"/>
        <v>0.74792369133729264</v>
      </c>
      <c r="BZ66" s="614" t="s">
        <v>35</v>
      </c>
      <c r="CA66" s="615"/>
      <c r="CB66" s="442"/>
      <c r="CC66" s="634"/>
      <c r="CD66" s="559"/>
      <c r="CE66" s="618">
        <f>CE65+CE62+CE50+CE37</f>
        <v>21973.196893183296</v>
      </c>
      <c r="CF66" s="42">
        <f t="shared" si="68"/>
        <v>0.74794741700996747</v>
      </c>
      <c r="CG66" s="614" t="s">
        <v>35</v>
      </c>
      <c r="CH66" s="615"/>
      <c r="CI66" s="442"/>
      <c r="CJ66" s="634"/>
      <c r="CK66" s="559"/>
      <c r="CL66" s="618">
        <f>CL65+CL62+CL50+CL37</f>
        <v>21975.986865221945</v>
      </c>
      <c r="CM66" s="42">
        <f t="shared" si="70"/>
        <v>0.74797135168748441</v>
      </c>
      <c r="CN66" s="614" t="s">
        <v>35</v>
      </c>
      <c r="CO66" s="615"/>
      <c r="CP66" s="442"/>
      <c r="CQ66" s="634"/>
      <c r="CR66" s="559"/>
      <c r="CS66" s="618">
        <f>CS65+CS62+CS50+CS37</f>
        <v>21978.801947008942</v>
      </c>
      <c r="CT66" s="42">
        <f t="shared" si="72"/>
        <v>0.74799549717036107</v>
      </c>
      <c r="CU66" s="614" t="s">
        <v>35</v>
      </c>
      <c r="CV66" s="615"/>
      <c r="CW66" s="442"/>
      <c r="CX66" s="634"/>
      <c r="CY66" s="559"/>
      <c r="CZ66" s="618">
        <f>CZ65+CZ62+CZ50+CZ37</f>
        <v>21981.642364532021</v>
      </c>
      <c r="DA66" s="42">
        <f t="shared" si="74"/>
        <v>0.74801985527389914</v>
      </c>
      <c r="DB66" s="614" t="s">
        <v>35</v>
      </c>
      <c r="DC66" s="615"/>
      <c r="DD66" s="442"/>
      <c r="DE66" s="634"/>
      <c r="DF66" s="559"/>
      <c r="DG66" s="618">
        <f>DG65+DG62+DG50+DG37</f>
        <v>21984.50834581281</v>
      </c>
      <c r="DH66" s="271">
        <f t="shared" si="76"/>
        <v>0.74804442782829272</v>
      </c>
      <c r="DI66" s="614" t="s">
        <v>35</v>
      </c>
      <c r="DJ66" s="615"/>
      <c r="DK66" s="442"/>
      <c r="DL66" s="634"/>
      <c r="DM66" s="559"/>
      <c r="DN66" s="618">
        <f>DN65+DN62+DN50+DN37</f>
        <v>21987.400120925126</v>
      </c>
      <c r="DO66" s="271">
        <f t="shared" si="78"/>
        <v>0.7480692166787366</v>
      </c>
      <c r="DP66" s="614" t="s">
        <v>35</v>
      </c>
      <c r="DQ66" s="615"/>
      <c r="DR66" s="442"/>
      <c r="DS66" s="634"/>
      <c r="DT66" s="559"/>
      <c r="DU66" s="618">
        <f>DU65+DU62+DU50+DU37</f>
        <v>21990.317922013452</v>
      </c>
      <c r="DV66" s="271">
        <f t="shared" si="80"/>
        <v>0.74809422368553646</v>
      </c>
      <c r="DW66" s="614" t="s">
        <v>35</v>
      </c>
      <c r="DX66" s="615"/>
      <c r="DY66" s="442"/>
      <c r="DZ66" s="634"/>
      <c r="EA66" s="559"/>
      <c r="EB66" s="618">
        <f>EB65+EB62+EB50+EB37</f>
        <v>21993.261983311575</v>
      </c>
      <c r="EC66" s="271">
        <f t="shared" si="82"/>
        <v>0.74811945072421815</v>
      </c>
      <c r="ED66" s="614" t="s">
        <v>35</v>
      </c>
      <c r="EE66" s="615"/>
      <c r="EF66" s="442"/>
      <c r="EG66" s="634"/>
      <c r="EH66" s="559"/>
      <c r="EI66" s="618">
        <f>EI65+EI62+EI50+EI37</f>
        <v>21996.232541161378</v>
      </c>
      <c r="EJ66" s="271">
        <f t="shared" si="84"/>
        <v>0.62134437789592689</v>
      </c>
    </row>
    <row r="67" spans="1:249" s="19" customFormat="1" ht="16.5" thickBot="1" x14ac:dyDescent="0.3">
      <c r="A67" s="443" t="s">
        <v>294</v>
      </c>
      <c r="B67" s="564"/>
      <c r="C67" s="1045"/>
      <c r="D67" s="565"/>
      <c r="E67" s="566"/>
      <c r="F67" s="1046">
        <f>F66+F36</f>
        <v>10153.827767999999</v>
      </c>
      <c r="G67" s="1047">
        <f t="shared" si="48"/>
        <v>1</v>
      </c>
      <c r="H67" s="443" t="s">
        <v>280</v>
      </c>
      <c r="I67" s="564"/>
      <c r="J67" s="1045"/>
      <c r="K67" s="565"/>
      <c r="L67" s="566"/>
      <c r="M67" s="1046">
        <f>M66+M36</f>
        <v>12444.543592911999</v>
      </c>
      <c r="N67" s="211">
        <f t="shared" si="49"/>
        <v>1</v>
      </c>
      <c r="O67" s="443" t="s">
        <v>281</v>
      </c>
      <c r="P67" s="564"/>
      <c r="Q67" s="1045"/>
      <c r="R67" s="565"/>
      <c r="S67" s="566"/>
      <c r="T67" s="1046">
        <f>T66+T36</f>
        <v>18346.184068581544</v>
      </c>
      <c r="U67" s="1047">
        <f t="shared" si="50"/>
        <v>1</v>
      </c>
      <c r="V67" s="443" t="s">
        <v>282</v>
      </c>
      <c r="W67" s="564"/>
      <c r="X67" s="1045"/>
      <c r="Y67" s="565"/>
      <c r="Z67" s="566"/>
      <c r="AA67" s="1046">
        <f>AA66+AA36</f>
        <v>20345.238683532109</v>
      </c>
      <c r="AB67" s="1047">
        <f t="shared" si="52"/>
        <v>1</v>
      </c>
      <c r="AC67" s="443" t="s">
        <v>283</v>
      </c>
      <c r="AD67" s="564"/>
      <c r="AE67" s="1045"/>
      <c r="AF67" s="565"/>
      <c r="AG67" s="566"/>
      <c r="AH67" s="1046">
        <f>AH66+AH36</f>
        <v>26582.523748350563</v>
      </c>
      <c r="AI67" s="1047">
        <f t="shared" si="54"/>
        <v>1</v>
      </c>
      <c r="AJ67" s="443" t="s">
        <v>284</v>
      </c>
      <c r="AK67" s="564"/>
      <c r="AL67" s="1045"/>
      <c r="AM67" s="565"/>
      <c r="AN67" s="566"/>
      <c r="AO67" s="1046">
        <f>AO66+AO36</f>
        <v>29361.771962085717</v>
      </c>
      <c r="AP67" s="1047">
        <f t="shared" si="56"/>
        <v>1</v>
      </c>
      <c r="AQ67" s="443" t="s">
        <v>285</v>
      </c>
      <c r="AR67" s="564"/>
      <c r="AS67" s="1045"/>
      <c r="AT67" s="565"/>
      <c r="AU67" s="566"/>
      <c r="AV67" s="1046">
        <f>AV66+AV36</f>
        <v>29364.41590974449</v>
      </c>
      <c r="AW67" s="1047">
        <f t="shared" si="58"/>
        <v>1</v>
      </c>
      <c r="AX67" s="443" t="s">
        <v>286</v>
      </c>
      <c r="AY67" s="564"/>
      <c r="AZ67" s="1045"/>
      <c r="BA67" s="565"/>
      <c r="BB67" s="566"/>
      <c r="BC67" s="1046">
        <f>BC66+BC36</f>
        <v>29367.08365293219</v>
      </c>
      <c r="BD67" s="1047">
        <f t="shared" si="60"/>
        <v>1</v>
      </c>
      <c r="BE67" s="443" t="s">
        <v>287</v>
      </c>
      <c r="BF67" s="564"/>
      <c r="BG67" s="1045"/>
      <c r="BH67" s="565"/>
      <c r="BI67" s="566"/>
      <c r="BJ67" s="1046">
        <f>BJ66+BJ36</f>
        <v>29369.775405808581</v>
      </c>
      <c r="BK67" s="1047">
        <f t="shared" si="62"/>
        <v>1</v>
      </c>
      <c r="BL67" s="443" t="s">
        <v>288</v>
      </c>
      <c r="BM67" s="564"/>
      <c r="BN67" s="1045"/>
      <c r="BO67" s="565"/>
      <c r="BP67" s="566"/>
      <c r="BQ67" s="1046">
        <f>BQ66+BQ36</f>
        <v>29372.491384460856</v>
      </c>
      <c r="BR67" s="1047">
        <f t="shared" si="64"/>
        <v>1</v>
      </c>
      <c r="BS67" s="443" t="s">
        <v>289</v>
      </c>
      <c r="BT67" s="564"/>
      <c r="BU67" s="1045"/>
      <c r="BV67" s="565"/>
      <c r="BW67" s="566"/>
      <c r="BX67" s="1046">
        <f>BX66+BX36</f>
        <v>29375.231806921005</v>
      </c>
      <c r="BY67" s="1047">
        <f t="shared" si="66"/>
        <v>1</v>
      </c>
      <c r="BZ67" s="443" t="s">
        <v>290</v>
      </c>
      <c r="CA67" s="564"/>
      <c r="CB67" s="1045"/>
      <c r="CC67" s="565"/>
      <c r="CD67" s="566"/>
      <c r="CE67" s="1046">
        <f>CE66+CE36</f>
        <v>29377.996893183295</v>
      </c>
      <c r="CF67" s="1047">
        <f t="shared" si="68"/>
        <v>1</v>
      </c>
      <c r="CG67" s="443" t="s">
        <v>291</v>
      </c>
      <c r="CH67" s="564"/>
      <c r="CI67" s="1045"/>
      <c r="CJ67" s="565"/>
      <c r="CK67" s="566"/>
      <c r="CL67" s="1046">
        <f>CL66+CL36</f>
        <v>29380.786865221944</v>
      </c>
      <c r="CM67" s="1047">
        <f t="shared" si="70"/>
        <v>1</v>
      </c>
      <c r="CN67" s="443" t="s">
        <v>292</v>
      </c>
      <c r="CO67" s="564"/>
      <c r="CP67" s="1045"/>
      <c r="CQ67" s="565"/>
      <c r="CR67" s="566"/>
      <c r="CS67" s="1046">
        <f>CS66+CS36</f>
        <v>29383.601947008941</v>
      </c>
      <c r="CT67" s="1047">
        <f t="shared" si="72"/>
        <v>1</v>
      </c>
      <c r="CU67" s="443" t="s">
        <v>293</v>
      </c>
      <c r="CV67" s="564"/>
      <c r="CW67" s="1045"/>
      <c r="CX67" s="565"/>
      <c r="CY67" s="566"/>
      <c r="CZ67" s="1048">
        <f>CZ66+CZ36+CV73</f>
        <v>29386.44236453202</v>
      </c>
      <c r="DA67" s="1047">
        <f t="shared" si="74"/>
        <v>1</v>
      </c>
      <c r="DB67" s="443" t="s">
        <v>372</v>
      </c>
      <c r="DC67" s="564"/>
      <c r="DD67" s="1045"/>
      <c r="DE67" s="565"/>
      <c r="DF67" s="566"/>
      <c r="DG67" s="1048">
        <f>DG66+DG36+DC73</f>
        <v>29389.308345812809</v>
      </c>
      <c r="DH67" s="211">
        <f t="shared" si="76"/>
        <v>1</v>
      </c>
      <c r="DI67" s="443" t="s">
        <v>373</v>
      </c>
      <c r="DJ67" s="564"/>
      <c r="DK67" s="1045"/>
      <c r="DL67" s="565"/>
      <c r="DM67" s="566"/>
      <c r="DN67" s="1048">
        <f>DN66+DN36+DJ73</f>
        <v>29392.200120925125</v>
      </c>
      <c r="DO67" s="211">
        <f t="shared" si="78"/>
        <v>1</v>
      </c>
      <c r="DP67" s="443" t="s">
        <v>374</v>
      </c>
      <c r="DQ67" s="564"/>
      <c r="DR67" s="1045"/>
      <c r="DS67" s="565"/>
      <c r="DT67" s="566"/>
      <c r="DU67" s="1048">
        <f>DU66+DU36+DQ73</f>
        <v>29395.117922013451</v>
      </c>
      <c r="DV67" s="211">
        <f t="shared" si="80"/>
        <v>1</v>
      </c>
      <c r="DW67" s="443" t="s">
        <v>375</v>
      </c>
      <c r="DX67" s="564"/>
      <c r="DY67" s="1045"/>
      <c r="DZ67" s="565"/>
      <c r="EA67" s="566"/>
      <c r="EB67" s="1048">
        <f>EB66+EB36+DX73</f>
        <v>29398.061983311574</v>
      </c>
      <c r="EC67" s="211">
        <f t="shared" si="82"/>
        <v>1</v>
      </c>
      <c r="ED67" s="443" t="s">
        <v>376</v>
      </c>
      <c r="EE67" s="564"/>
      <c r="EF67" s="1045"/>
      <c r="EG67" s="565"/>
      <c r="EH67" s="566"/>
      <c r="EI67" s="1048">
        <f>EI66+EI36+EE73</f>
        <v>35401.032541161374</v>
      </c>
      <c r="EJ67" s="211">
        <f t="shared" si="84"/>
        <v>1</v>
      </c>
    </row>
    <row r="68" spans="1:249" x14ac:dyDescent="0.2">
      <c r="A68" s="21" t="s">
        <v>257</v>
      </c>
      <c r="B68"/>
      <c r="C68"/>
      <c r="D68"/>
      <c r="E68"/>
      <c r="F68" s="38">
        <f>F14</f>
        <v>1100</v>
      </c>
      <c r="G68" s="13"/>
      <c r="H68" s="21" t="s">
        <v>257</v>
      </c>
      <c r="I68" s="21"/>
      <c r="M68" s="38">
        <f>M14</f>
        <v>3722</v>
      </c>
      <c r="N68" s="50"/>
      <c r="O68" s="21" t="s">
        <v>257</v>
      </c>
      <c r="R68"/>
      <c r="T68" s="38">
        <f>T14</f>
        <v>5470</v>
      </c>
      <c r="U68" s="50"/>
      <c r="V68" s="21" t="s">
        <v>257</v>
      </c>
      <c r="AA68" s="38">
        <f>AA14</f>
        <v>9840</v>
      </c>
      <c r="AB68" s="50"/>
      <c r="AC68" s="21" t="s">
        <v>257</v>
      </c>
      <c r="AH68" s="38">
        <f>AH14</f>
        <v>18580</v>
      </c>
      <c r="AI68" s="50"/>
      <c r="AJ68" s="21" t="s">
        <v>257</v>
      </c>
      <c r="AO68" s="38">
        <f>AO14</f>
        <v>29068</v>
      </c>
      <c r="AP68" s="50"/>
      <c r="AQ68" s="21" t="s">
        <v>257</v>
      </c>
      <c r="AV68" s="38">
        <f>AV14</f>
        <v>29068</v>
      </c>
      <c r="AW68" s="50"/>
      <c r="AX68" s="21" t="s">
        <v>257</v>
      </c>
      <c r="BC68" s="38">
        <f>BC14</f>
        <v>29068</v>
      </c>
      <c r="BD68" s="50"/>
      <c r="BE68" s="21" t="s">
        <v>257</v>
      </c>
      <c r="BJ68" s="38">
        <f>BJ14</f>
        <v>29068</v>
      </c>
      <c r="BK68" s="50"/>
      <c r="BL68" s="21" t="s">
        <v>257</v>
      </c>
      <c r="BQ68" s="38">
        <f>BQ14</f>
        <v>29068</v>
      </c>
      <c r="BR68" s="50"/>
      <c r="BS68" s="21" t="s">
        <v>257</v>
      </c>
      <c r="BX68" s="38">
        <f>BX14</f>
        <v>29068</v>
      </c>
      <c r="BY68" s="50"/>
      <c r="BZ68" s="21" t="s">
        <v>257</v>
      </c>
      <c r="CE68" s="38">
        <f>CE14</f>
        <v>29068</v>
      </c>
      <c r="CF68" s="50"/>
      <c r="CG68" s="21" t="s">
        <v>257</v>
      </c>
      <c r="CL68" s="38">
        <f>CL14</f>
        <v>29068</v>
      </c>
      <c r="CM68" s="50"/>
      <c r="CN68" s="21" t="s">
        <v>257</v>
      </c>
      <c r="CS68" s="38">
        <f>CS14</f>
        <v>29068</v>
      </c>
      <c r="CT68" s="50"/>
      <c r="CU68" s="21" t="s">
        <v>257</v>
      </c>
      <c r="CZ68" s="38">
        <f>CZ14</f>
        <v>29068</v>
      </c>
      <c r="DA68" s="50"/>
      <c r="DB68" s="21" t="s">
        <v>257</v>
      </c>
      <c r="DG68" s="38">
        <f>DG14</f>
        <v>29068</v>
      </c>
      <c r="DH68" s="50"/>
      <c r="DI68" s="21" t="s">
        <v>257</v>
      </c>
      <c r="DN68" s="38">
        <f>DN14</f>
        <v>29068</v>
      </c>
      <c r="DO68" s="50"/>
      <c r="DP68" s="21" t="s">
        <v>257</v>
      </c>
      <c r="DU68" s="38">
        <f>DU14</f>
        <v>29068</v>
      </c>
      <c r="DV68" s="50"/>
      <c r="DW68" s="21" t="s">
        <v>257</v>
      </c>
      <c r="EB68" s="38">
        <f>EB14</f>
        <v>29068</v>
      </c>
      <c r="EC68" s="50"/>
      <c r="ED68" s="21" t="s">
        <v>257</v>
      </c>
      <c r="EI68" s="38">
        <f>EI14</f>
        <v>29068</v>
      </c>
      <c r="EJ68" s="50"/>
    </row>
    <row r="69" spans="1:249" x14ac:dyDescent="0.2">
      <c r="A69" s="21" t="s">
        <v>264</v>
      </c>
      <c r="B69"/>
      <c r="C69"/>
      <c r="D69"/>
      <c r="E69"/>
      <c r="F69" s="38">
        <f>F68-F67</f>
        <v>-9053.8277679999992</v>
      </c>
      <c r="G69" s="13"/>
      <c r="H69" s="21" t="s">
        <v>264</v>
      </c>
      <c r="I69" s="21"/>
      <c r="M69" s="38">
        <f>M68-M67</f>
        <v>-8722.5435929119994</v>
      </c>
      <c r="N69" s="50"/>
      <c r="O69" s="21" t="s">
        <v>264</v>
      </c>
      <c r="R69"/>
      <c r="T69" s="38">
        <f>T68-T67</f>
        <v>-12876.184068581544</v>
      </c>
      <c r="U69" s="50"/>
      <c r="V69" s="21" t="s">
        <v>264</v>
      </c>
      <c r="AA69" s="38">
        <f>AA68-AA67</f>
        <v>-10505.238683532109</v>
      </c>
      <c r="AB69" s="50"/>
      <c r="AC69" s="21" t="s">
        <v>264</v>
      </c>
      <c r="AH69" s="38">
        <f>AH68-AH67</f>
        <v>-8002.5237483505625</v>
      </c>
      <c r="AI69" s="50"/>
      <c r="AJ69" s="21" t="s">
        <v>264</v>
      </c>
      <c r="AO69" s="38">
        <f>AO68-AO67</f>
        <v>-293.77196208571695</v>
      </c>
      <c r="AP69" s="50"/>
      <c r="AQ69" s="21" t="s">
        <v>264</v>
      </c>
      <c r="AV69" s="38">
        <f>AV68-AV67</f>
        <v>-296.41590974448991</v>
      </c>
      <c r="AW69" s="50"/>
      <c r="AX69" s="21" t="s">
        <v>264</v>
      </c>
      <c r="BC69" s="38">
        <f>BC68-BC67</f>
        <v>-299.08365293218958</v>
      </c>
      <c r="BD69" s="50"/>
      <c r="BE69" s="21" t="s">
        <v>264</v>
      </c>
      <c r="BJ69" s="38">
        <f>BJ68-BJ67</f>
        <v>-301.77540580858113</v>
      </c>
      <c r="BK69" s="50"/>
      <c r="BL69" s="21" t="s">
        <v>264</v>
      </c>
      <c r="BQ69" s="38">
        <f>BQ68-BQ67</f>
        <v>-304.49138446085635</v>
      </c>
      <c r="BR69" s="50"/>
      <c r="BS69" s="21" t="s">
        <v>264</v>
      </c>
      <c r="BX69" s="38">
        <f>BX68-BX67</f>
        <v>-307.23180692100505</v>
      </c>
      <c r="BY69" s="50"/>
      <c r="BZ69" s="21" t="s">
        <v>264</v>
      </c>
      <c r="CE69" s="38">
        <f>CE68-CE67</f>
        <v>-309.99689318329547</v>
      </c>
      <c r="CF69" s="50"/>
      <c r="CG69" s="21" t="s">
        <v>264</v>
      </c>
      <c r="CL69" s="38">
        <f>CL68-CL67</f>
        <v>-312.78686522194403</v>
      </c>
      <c r="CM69" s="50"/>
      <c r="CN69" s="21" t="s">
        <v>264</v>
      </c>
      <c r="CS69" s="38">
        <f>CS68-CS67</f>
        <v>-315.60194700894135</v>
      </c>
      <c r="CT69" s="50"/>
      <c r="CU69" s="21" t="s">
        <v>264</v>
      </c>
      <c r="CZ69" s="38">
        <f>CZ68-CZ67</f>
        <v>-318.44236453202029</v>
      </c>
      <c r="DA69" s="50"/>
      <c r="DB69" s="21" t="s">
        <v>264</v>
      </c>
      <c r="DG69" s="38">
        <f>DG68-DG67</f>
        <v>-321.30834581280942</v>
      </c>
      <c r="DH69" s="50"/>
      <c r="DI69" s="21" t="s">
        <v>264</v>
      </c>
      <c r="DN69" s="38">
        <f>DN68-DN67</f>
        <v>-324.20012092512479</v>
      </c>
      <c r="DO69" s="50"/>
      <c r="DP69" s="21" t="s">
        <v>264</v>
      </c>
      <c r="DU69" s="38">
        <f>DU68-DU67</f>
        <v>-327.11792201345088</v>
      </c>
      <c r="DV69" s="50"/>
      <c r="DW69" s="21" t="s">
        <v>264</v>
      </c>
      <c r="EB69" s="38">
        <f>EB68-EB67</f>
        <v>-330.06198331157429</v>
      </c>
      <c r="EC69" s="50"/>
      <c r="ED69" s="21" t="s">
        <v>264</v>
      </c>
      <c r="EI69" s="38">
        <f>EI68-EI67</f>
        <v>-6333.032541161374</v>
      </c>
      <c r="EJ69" s="50"/>
    </row>
    <row r="70" spans="1:249" s="99" customFormat="1" x14ac:dyDescent="0.2">
      <c r="A70" s="106" t="s">
        <v>426</v>
      </c>
      <c r="C70" s="501"/>
      <c r="D70" s="501"/>
      <c r="E70" s="213"/>
      <c r="F70" s="228">
        <f>'Standard Erstellung'!E74*(-1)</f>
        <v>-84975.307555555541</v>
      </c>
      <c r="G70" s="928"/>
      <c r="H70" s="106" t="s">
        <v>265</v>
      </c>
      <c r="I70" s="106"/>
      <c r="J70" s="501"/>
      <c r="K70" s="501"/>
      <c r="L70" s="213"/>
      <c r="M70" s="228">
        <f>F71</f>
        <v>-94029.135323555543</v>
      </c>
      <c r="N70" s="928"/>
      <c r="O70" s="106" t="s">
        <v>266</v>
      </c>
      <c r="Q70" s="501"/>
      <c r="R70" s="501"/>
      <c r="S70" s="213"/>
      <c r="T70" s="228">
        <f>M71</f>
        <v>-102751.67891646754</v>
      </c>
      <c r="U70" s="928"/>
      <c r="V70" s="106" t="s">
        <v>267</v>
      </c>
      <c r="X70" s="501"/>
      <c r="Y70" s="501"/>
      <c r="Z70" s="213"/>
      <c r="AA70" s="228">
        <f>T71</f>
        <v>-115627.86298504908</v>
      </c>
      <c r="AB70" s="928"/>
      <c r="AC70" s="106" t="s">
        <v>268</v>
      </c>
      <c r="AE70" s="501"/>
      <c r="AF70" s="501"/>
      <c r="AG70" s="213"/>
      <c r="AH70" s="228">
        <f>AA71</f>
        <v>-126133.10166858119</v>
      </c>
      <c r="AI70" s="928"/>
      <c r="AJ70" s="106" t="s">
        <v>269</v>
      </c>
      <c r="AL70" s="501"/>
      <c r="AM70" s="501"/>
      <c r="AN70" s="213"/>
      <c r="AO70" s="228">
        <f>AH71</f>
        <v>-134135.62541693175</v>
      </c>
      <c r="AP70" s="928"/>
      <c r="AQ70" s="106" t="s">
        <v>270</v>
      </c>
      <c r="AS70" s="501"/>
      <c r="AT70" s="501"/>
      <c r="AU70" s="213"/>
      <c r="AV70" s="228">
        <f>AO71</f>
        <v>-134429.39737901746</v>
      </c>
      <c r="AW70" s="928"/>
      <c r="AX70" s="106" t="s">
        <v>271</v>
      </c>
      <c r="AZ70" s="501"/>
      <c r="BA70" s="501"/>
      <c r="BB70" s="213"/>
      <c r="BC70" s="228">
        <f>AV71</f>
        <v>-134725.81328876194</v>
      </c>
      <c r="BD70" s="928"/>
      <c r="BE70" s="106" t="s">
        <v>272</v>
      </c>
      <c r="BG70" s="501"/>
      <c r="BH70" s="501"/>
      <c r="BI70" s="213"/>
      <c r="BJ70" s="228">
        <f>BC71</f>
        <v>-135024.89694169414</v>
      </c>
      <c r="BK70" s="928"/>
      <c r="BL70" s="106" t="s">
        <v>273</v>
      </c>
      <c r="BN70" s="501"/>
      <c r="BO70" s="501"/>
      <c r="BP70" s="213"/>
      <c r="BQ70" s="228">
        <f>BJ71</f>
        <v>-135326.67234750272</v>
      </c>
      <c r="BR70" s="928"/>
      <c r="BS70" s="106" t="s">
        <v>274</v>
      </c>
      <c r="BU70" s="501"/>
      <c r="BV70" s="501"/>
      <c r="BW70" s="213"/>
      <c r="BX70" s="228">
        <f>BQ71</f>
        <v>-135631.16373196358</v>
      </c>
      <c r="BY70" s="928"/>
      <c r="BZ70" s="106" t="s">
        <v>275</v>
      </c>
      <c r="CB70" s="501"/>
      <c r="CC70" s="501"/>
      <c r="CD70" s="213"/>
      <c r="CE70" s="228">
        <f>BX71</f>
        <v>-135938.39553888459</v>
      </c>
      <c r="CF70" s="928"/>
      <c r="CG70" s="106" t="s">
        <v>276</v>
      </c>
      <c r="CI70" s="501"/>
      <c r="CJ70" s="501"/>
      <c r="CK70" s="213"/>
      <c r="CL70" s="228">
        <f>CE71</f>
        <v>-136248.39243206789</v>
      </c>
      <c r="CM70" s="928"/>
      <c r="CN70" s="106" t="s">
        <v>277</v>
      </c>
      <c r="CP70" s="501"/>
      <c r="CQ70" s="501"/>
      <c r="CR70" s="213"/>
      <c r="CS70" s="228">
        <f>CL71</f>
        <v>-136561.17929728984</v>
      </c>
      <c r="CT70" s="928"/>
      <c r="CU70" s="106" t="s">
        <v>278</v>
      </c>
      <c r="CW70" s="501"/>
      <c r="CX70" s="501"/>
      <c r="CY70" s="213"/>
      <c r="CZ70" s="228">
        <f>CS71</f>
        <v>-136876.78124429879</v>
      </c>
      <c r="DA70" s="928"/>
      <c r="DB70" s="106" t="s">
        <v>279</v>
      </c>
      <c r="DD70" s="501"/>
      <c r="DE70" s="501"/>
      <c r="DF70" s="213"/>
      <c r="DG70" s="228">
        <f>CZ71</f>
        <v>-137195.22360883083</v>
      </c>
      <c r="DH70" s="928"/>
      <c r="DI70" s="106" t="s">
        <v>365</v>
      </c>
      <c r="DK70" s="501"/>
      <c r="DL70" s="501"/>
      <c r="DM70" s="213"/>
      <c r="DN70" s="228">
        <f>DG71</f>
        <v>-137516.53195464364</v>
      </c>
      <c r="DO70" s="928"/>
      <c r="DP70" s="106" t="s">
        <v>366</v>
      </c>
      <c r="DR70" s="501"/>
      <c r="DS70" s="501"/>
      <c r="DT70" s="213"/>
      <c r="DU70" s="228">
        <f>DN71</f>
        <v>-137840.73207556875</v>
      </c>
      <c r="DV70" s="928"/>
      <c r="DW70" s="106" t="s">
        <v>367</v>
      </c>
      <c r="DY70" s="501"/>
      <c r="DZ70" s="501"/>
      <c r="EA70" s="213"/>
      <c r="EB70" s="228">
        <f>DU71</f>
        <v>-138167.84999758221</v>
      </c>
      <c r="EC70" s="928"/>
      <c r="ED70" s="106" t="s">
        <v>368</v>
      </c>
      <c r="EF70" s="501"/>
      <c r="EG70" s="501"/>
      <c r="EH70" s="213"/>
      <c r="EI70" s="228">
        <f>EB71</f>
        <v>-138497.91198089378</v>
      </c>
      <c r="EJ70" s="928"/>
    </row>
    <row r="71" spans="1:249" s="68" customFormat="1" ht="21" customHeight="1" x14ac:dyDescent="0.25">
      <c r="A71" s="67" t="s">
        <v>265</v>
      </c>
      <c r="F71" s="159">
        <f>((F67)*(-1))+F70+F68</f>
        <v>-94029.135323555543</v>
      </c>
      <c r="G71" s="69"/>
      <c r="H71" s="67" t="s">
        <v>266</v>
      </c>
      <c r="I71" s="67"/>
      <c r="M71" s="159">
        <f>((M67)*(-1))+M70+M68</f>
        <v>-102751.67891646754</v>
      </c>
      <c r="N71" s="69"/>
      <c r="O71" s="67" t="s">
        <v>267</v>
      </c>
      <c r="T71" s="159">
        <f>((T67)*(-1))+T70+T68</f>
        <v>-115627.86298504908</v>
      </c>
      <c r="U71" s="69"/>
      <c r="V71" s="67" t="s">
        <v>268</v>
      </c>
      <c r="AA71" s="159">
        <f>((AA67)*(-1))+AA70+AA68</f>
        <v>-126133.10166858119</v>
      </c>
      <c r="AB71" s="69"/>
      <c r="AC71" s="67" t="s">
        <v>269</v>
      </c>
      <c r="AH71" s="159">
        <f>((AH67)*(-1))+AH70+AH68</f>
        <v>-134135.62541693175</v>
      </c>
      <c r="AI71" s="69"/>
      <c r="AJ71" s="67" t="s">
        <v>270</v>
      </c>
      <c r="AO71" s="159">
        <f>((AO67)*(-1))+AO70+AO68</f>
        <v>-134429.39737901746</v>
      </c>
      <c r="AP71" s="69"/>
      <c r="AQ71" s="67" t="s">
        <v>271</v>
      </c>
      <c r="AV71" s="159">
        <f>((AV67)*(-1))+AV70+AV68</f>
        <v>-134725.81328876194</v>
      </c>
      <c r="AW71" s="69"/>
      <c r="AX71" s="67" t="s">
        <v>272</v>
      </c>
      <c r="BC71" s="159">
        <f>((BC67)*(-1))+BC70+BC68</f>
        <v>-135024.89694169414</v>
      </c>
      <c r="BD71" s="69"/>
      <c r="BE71" s="67" t="s">
        <v>273</v>
      </c>
      <c r="BJ71" s="159">
        <f>((BJ67)*(-1))+BJ70+BJ68</f>
        <v>-135326.67234750272</v>
      </c>
      <c r="BK71" s="69"/>
      <c r="BL71" s="67" t="s">
        <v>274</v>
      </c>
      <c r="BQ71" s="159">
        <f>((BQ67)*(-1))+BQ70+BQ68</f>
        <v>-135631.16373196358</v>
      </c>
      <c r="BR71" s="69"/>
      <c r="BS71" s="67" t="s">
        <v>275</v>
      </c>
      <c r="BX71" s="159">
        <f>((BX67)*(-1))+BX70+BX68</f>
        <v>-135938.39553888459</v>
      </c>
      <c r="BY71" s="69"/>
      <c r="BZ71" s="67" t="s">
        <v>276</v>
      </c>
      <c r="CE71" s="159">
        <f>((CE67)*(-1))+CE70+CE68</f>
        <v>-136248.39243206789</v>
      </c>
      <c r="CF71" s="69"/>
      <c r="CG71" s="67" t="s">
        <v>277</v>
      </c>
      <c r="CL71" s="159">
        <f>((CL67)*(-1))+CL70+CL68</f>
        <v>-136561.17929728984</v>
      </c>
      <c r="CM71" s="69"/>
      <c r="CN71" s="67" t="s">
        <v>278</v>
      </c>
      <c r="CS71" s="159">
        <f>((CS67)*(-1))+CS70+CS68</f>
        <v>-136876.78124429879</v>
      </c>
      <c r="CT71" s="69"/>
      <c r="CU71" s="67" t="s">
        <v>279</v>
      </c>
      <c r="CZ71" s="159">
        <f>((CZ67)*(-1))+CZ70+CZ68</f>
        <v>-137195.22360883083</v>
      </c>
      <c r="DA71" s="69"/>
      <c r="DB71" s="67" t="s">
        <v>365</v>
      </c>
      <c r="DG71" s="159">
        <f>((DG67)*(-1))+DG70+DG68</f>
        <v>-137516.53195464364</v>
      </c>
      <c r="DH71" s="69"/>
      <c r="DI71" s="67" t="s">
        <v>366</v>
      </c>
      <c r="DN71" s="159">
        <f>((DN67)*(-1))+DN70+DN68</f>
        <v>-137840.73207556875</v>
      </c>
      <c r="DO71" s="69"/>
      <c r="DP71" s="67" t="s">
        <v>367</v>
      </c>
      <c r="DU71" s="159">
        <f>((DU67)*(-1))+DU70+DU68</f>
        <v>-138167.84999758221</v>
      </c>
      <c r="DV71" s="69"/>
      <c r="DW71" s="67" t="s">
        <v>368</v>
      </c>
      <c r="EB71" s="159">
        <f>((EB67)*(-1))+EB70+EB68</f>
        <v>-138497.91198089378</v>
      </c>
      <c r="EC71" s="69"/>
      <c r="ED71" s="67" t="s">
        <v>369</v>
      </c>
      <c r="EI71" s="159">
        <f>((EI67)*(-1))+EI70+EI68</f>
        <v>-144830.94452205516</v>
      </c>
      <c r="EJ71" s="69"/>
      <c r="EK71" s="160"/>
      <c r="EL71" s="160"/>
      <c r="EM71" s="160"/>
      <c r="EN71" s="160"/>
      <c r="EO71" s="160"/>
      <c r="EP71" s="160"/>
      <c r="EQ71" s="160"/>
      <c r="ER71" s="160"/>
      <c r="ES71" s="160"/>
      <c r="ET71" s="160"/>
      <c r="EU71" s="160"/>
      <c r="EV71" s="160"/>
      <c r="EW71" s="160"/>
      <c r="EX71" s="160"/>
      <c r="EY71" s="160"/>
      <c r="EZ71" s="160"/>
      <c r="FA71" s="160"/>
      <c r="FB71" s="160"/>
      <c r="FC71" s="160"/>
      <c r="FD71" s="160"/>
      <c r="FE71" s="160"/>
      <c r="FF71" s="160"/>
      <c r="FG71" s="160"/>
      <c r="FH71" s="160"/>
      <c r="FI71" s="160"/>
      <c r="FJ71" s="160"/>
      <c r="FK71" s="160"/>
      <c r="FL71" s="160"/>
      <c r="FM71" s="160"/>
      <c r="FN71" s="160"/>
      <c r="FO71" s="160"/>
      <c r="FP71" s="160"/>
      <c r="FQ71" s="160"/>
      <c r="FR71" s="160"/>
      <c r="FS71" s="160"/>
      <c r="FT71" s="160"/>
      <c r="FU71" s="160"/>
      <c r="FV71" s="160"/>
      <c r="FW71" s="160"/>
      <c r="FX71" s="160"/>
      <c r="FY71" s="160"/>
      <c r="FZ71" s="160"/>
      <c r="GA71" s="160"/>
      <c r="GB71" s="160"/>
      <c r="GC71" s="160"/>
      <c r="GD71" s="160"/>
      <c r="GE71" s="160"/>
      <c r="GF71" s="160"/>
      <c r="GG71" s="160"/>
      <c r="GH71" s="160"/>
      <c r="GI71" s="160"/>
      <c r="GJ71" s="160"/>
      <c r="GK71" s="160"/>
      <c r="GL71" s="160"/>
      <c r="GM71" s="160"/>
      <c r="GN71" s="160"/>
      <c r="GO71" s="160"/>
      <c r="GP71" s="160"/>
      <c r="GQ71" s="160"/>
      <c r="GR71" s="160"/>
      <c r="GS71" s="160"/>
      <c r="GT71" s="160"/>
      <c r="GU71" s="160"/>
      <c r="GV71" s="160"/>
      <c r="GW71" s="160"/>
      <c r="GX71" s="160"/>
      <c r="GY71" s="160"/>
      <c r="GZ71" s="160"/>
      <c r="HA71" s="160"/>
      <c r="HB71" s="160"/>
      <c r="HC71" s="160"/>
      <c r="HD71" s="160"/>
      <c r="HE71" s="160"/>
      <c r="HF71" s="160"/>
      <c r="HG71" s="160"/>
      <c r="HH71" s="160"/>
      <c r="HI71" s="160"/>
      <c r="HJ71" s="160"/>
      <c r="HK71" s="160"/>
      <c r="HL71" s="160"/>
      <c r="HM71" s="160"/>
      <c r="HN71" s="160"/>
      <c r="HO71" s="160"/>
      <c r="HP71" s="160"/>
      <c r="HQ71" s="160"/>
      <c r="HR71" s="160"/>
      <c r="HS71" s="160"/>
      <c r="HT71" s="160"/>
      <c r="HU71" s="160"/>
      <c r="HV71" s="160"/>
      <c r="HW71" s="160"/>
      <c r="HX71" s="160"/>
      <c r="HY71" s="160"/>
      <c r="HZ71" s="160"/>
      <c r="IA71" s="160"/>
      <c r="IB71" s="160"/>
      <c r="IC71" s="160"/>
      <c r="ID71" s="160"/>
      <c r="IE71" s="160"/>
      <c r="IF71" s="160"/>
      <c r="IG71" s="160"/>
      <c r="IH71" s="160"/>
      <c r="II71" s="160"/>
      <c r="IJ71" s="160"/>
      <c r="IK71" s="26"/>
      <c r="IL71" s="26"/>
      <c r="IM71" s="26"/>
      <c r="IN71" s="26"/>
      <c r="IO71" s="26"/>
    </row>
    <row r="72" spans="1:249" s="165" customFormat="1" x14ac:dyDescent="0.2">
      <c r="A72" s="162" t="s">
        <v>66</v>
      </c>
      <c r="B72" s="163"/>
      <c r="C72" s="161"/>
      <c r="D72" s="161"/>
      <c r="E72" s="161"/>
      <c r="F72" s="929">
        <f>F71*(-1)</f>
        <v>94029.135323555543</v>
      </c>
      <c r="G72" s="161"/>
      <c r="H72" s="162" t="s">
        <v>66</v>
      </c>
      <c r="I72" s="163"/>
      <c r="J72" s="161"/>
      <c r="K72" s="161"/>
      <c r="L72" s="161"/>
      <c r="M72" s="929">
        <f>M71*(-1)</f>
        <v>102751.67891646754</v>
      </c>
      <c r="N72" s="161"/>
      <c r="O72" s="162" t="s">
        <v>66</v>
      </c>
      <c r="P72" s="163"/>
      <c r="Q72" s="161"/>
      <c r="R72" s="161"/>
      <c r="S72" s="161"/>
      <c r="T72" s="929">
        <f>T71*(-1)</f>
        <v>115627.86298504908</v>
      </c>
      <c r="U72" s="161"/>
      <c r="V72" s="164" t="s">
        <v>66</v>
      </c>
      <c r="W72" s="163"/>
      <c r="X72" s="161"/>
      <c r="Y72" s="161"/>
      <c r="Z72" s="161"/>
      <c r="AA72" s="929">
        <f>AA71*(-1)</f>
        <v>126133.10166858119</v>
      </c>
      <c r="AB72" s="161"/>
      <c r="AC72" s="164" t="s">
        <v>66</v>
      </c>
      <c r="AD72" s="163"/>
      <c r="AE72" s="161"/>
      <c r="AF72" s="161"/>
      <c r="AG72" s="161"/>
      <c r="AH72" s="929">
        <f>AH71*(-1)</f>
        <v>134135.62541693175</v>
      </c>
      <c r="AI72" s="161"/>
      <c r="AJ72" s="164" t="s">
        <v>66</v>
      </c>
      <c r="AK72" s="163"/>
      <c r="AL72" s="161"/>
      <c r="AM72" s="161"/>
      <c r="AN72" s="161"/>
      <c r="AO72" s="929">
        <f>AH72-($AH$72/'Standard Vorgaben'!$B$31)</f>
        <v>125193.2503891363</v>
      </c>
      <c r="AP72" s="161"/>
      <c r="AQ72" s="164" t="s">
        <v>66</v>
      </c>
      <c r="AR72" s="163"/>
      <c r="AS72" s="161"/>
      <c r="AT72" s="161"/>
      <c r="AU72" s="161"/>
      <c r="AV72" s="929">
        <f>AO72-($AH$72/'Standard Vorgaben'!$B$31)</f>
        <v>116250.87536134085</v>
      </c>
      <c r="AW72" s="161"/>
      <c r="AX72" s="164" t="s">
        <v>66</v>
      </c>
      <c r="AY72" s="163"/>
      <c r="AZ72" s="161"/>
      <c r="BA72" s="161"/>
      <c r="BB72" s="161"/>
      <c r="BC72" s="929">
        <f>AV72-($AH$72/'Standard Vorgaben'!$B$31)</f>
        <v>107308.50033354539</v>
      </c>
      <c r="BD72" s="161"/>
      <c r="BE72" s="164" t="s">
        <v>66</v>
      </c>
      <c r="BF72" s="163"/>
      <c r="BG72" s="161"/>
      <c r="BH72" s="161"/>
      <c r="BI72" s="161"/>
      <c r="BJ72" s="929">
        <f>BC72-($AH$72/'Standard Vorgaben'!$B$31)</f>
        <v>98366.125305749942</v>
      </c>
      <c r="BK72" s="929"/>
      <c r="BL72" s="164" t="s">
        <v>66</v>
      </c>
      <c r="BM72" s="163"/>
      <c r="BN72" s="161"/>
      <c r="BO72" s="161"/>
      <c r="BP72" s="161"/>
      <c r="BQ72" s="929">
        <f>BJ72-($AH$72/'Standard Vorgaben'!$B$31)</f>
        <v>89423.750277954488</v>
      </c>
      <c r="BR72" s="161"/>
      <c r="BS72" s="164" t="s">
        <v>66</v>
      </c>
      <c r="BT72" s="163"/>
      <c r="BU72" s="161"/>
      <c r="BV72" s="161"/>
      <c r="BW72" s="161"/>
      <c r="BX72" s="929">
        <f>BQ72-($AH$72/'Standard Vorgaben'!$B$31)</f>
        <v>80481.375250159035</v>
      </c>
      <c r="BY72" s="161"/>
      <c r="BZ72" s="164" t="s">
        <v>66</v>
      </c>
      <c r="CA72" s="163"/>
      <c r="CB72" s="161"/>
      <c r="CC72" s="161"/>
      <c r="CD72" s="161"/>
      <c r="CE72" s="929">
        <f>BX72-($AH$72/'Standard Vorgaben'!$B$31)</f>
        <v>71539.000222363582</v>
      </c>
      <c r="CF72" s="161"/>
      <c r="CG72" s="164" t="s">
        <v>66</v>
      </c>
      <c r="CH72" s="163"/>
      <c r="CI72" s="161"/>
      <c r="CJ72" s="161"/>
      <c r="CK72" s="161"/>
      <c r="CL72" s="929">
        <f>CE72-($AH$72/'Standard Vorgaben'!$B$31)</f>
        <v>62596.625194568129</v>
      </c>
      <c r="CM72" s="161"/>
      <c r="CN72" s="164" t="s">
        <v>66</v>
      </c>
      <c r="CO72" s="163"/>
      <c r="CP72" s="161"/>
      <c r="CQ72" s="161"/>
      <c r="CR72" s="161"/>
      <c r="CS72" s="929">
        <f>CL72-($AH$72/'Standard Vorgaben'!$B$31)</f>
        <v>53654.250166772676</v>
      </c>
      <c r="CT72" s="161"/>
      <c r="CU72" s="164" t="s">
        <v>66</v>
      </c>
      <c r="CV72" s="163"/>
      <c r="CW72" s="161"/>
      <c r="CX72" s="161"/>
      <c r="CY72" s="161"/>
      <c r="CZ72" s="929">
        <f>CS72-($AH$72/'Standard Vorgaben'!$B$31)</f>
        <v>44711.875138977222</v>
      </c>
      <c r="DA72" s="325"/>
      <c r="DB72" s="164" t="s">
        <v>66</v>
      </c>
      <c r="DC72" s="163"/>
      <c r="DD72" s="161"/>
      <c r="DE72" s="161"/>
      <c r="DF72" s="161"/>
      <c r="DG72" s="929">
        <f>CZ72-($AH$72/'Standard Vorgaben'!$B$31)</f>
        <v>35769.500111181769</v>
      </c>
      <c r="DH72" s="325"/>
      <c r="DI72" s="164" t="s">
        <v>66</v>
      </c>
      <c r="DJ72" s="163"/>
      <c r="DK72" s="161"/>
      <c r="DL72" s="161"/>
      <c r="DM72" s="161"/>
      <c r="DN72" s="929">
        <f>DG72-($AH$72/'Standard Vorgaben'!$B$31)</f>
        <v>26827.12508338632</v>
      </c>
      <c r="DO72" s="325"/>
      <c r="DP72" s="164" t="s">
        <v>66</v>
      </c>
      <c r="DQ72" s="163"/>
      <c r="DR72" s="161"/>
      <c r="DS72" s="161"/>
      <c r="DT72" s="161"/>
      <c r="DU72" s="929">
        <f>DN72-($AH$72/'Standard Vorgaben'!$B$31)</f>
        <v>17884.75005559087</v>
      </c>
      <c r="DV72" s="325"/>
      <c r="DW72" s="164" t="s">
        <v>66</v>
      </c>
      <c r="DX72" s="163"/>
      <c r="DY72" s="161"/>
      <c r="DZ72" s="161"/>
      <c r="EA72" s="161"/>
      <c r="EB72" s="929">
        <f>DU72-($AH$72/'Standard Vorgaben'!$B$31)</f>
        <v>8942.3750277954205</v>
      </c>
      <c r="EC72" s="325"/>
      <c r="ED72" s="164" t="s">
        <v>66</v>
      </c>
      <c r="EE72" s="163"/>
      <c r="EF72" s="161"/>
      <c r="EG72" s="161"/>
      <c r="EH72" s="161"/>
      <c r="EI72" s="929">
        <f>EB72-($AH$72/'Standard Vorgaben'!$B$31)</f>
        <v>-2.9103830456733704E-11</v>
      </c>
      <c r="EJ72" s="325"/>
    </row>
    <row r="73" spans="1:249" x14ac:dyDescent="0.2">
      <c r="A73"/>
      <c r="B73"/>
      <c r="C73"/>
      <c r="D73"/>
      <c r="E73"/>
      <c r="F73"/>
      <c r="G73"/>
      <c r="H73"/>
      <c r="I73"/>
      <c r="O73" s="21"/>
      <c r="P73" s="21"/>
      <c r="Q73" s="21"/>
      <c r="R73" s="21"/>
      <c r="S73" s="21"/>
      <c r="T73" s="158"/>
      <c r="DB73" s="220"/>
      <c r="DC73" s="221"/>
      <c r="DH73" s="17"/>
      <c r="DI73" s="220"/>
      <c r="DJ73" s="221"/>
      <c r="DO73" s="17"/>
      <c r="DP73" s="220"/>
      <c r="DQ73" s="221"/>
      <c r="DV73" s="17"/>
      <c r="DW73" s="220"/>
      <c r="DX73" s="221"/>
      <c r="EC73" s="17"/>
      <c r="ED73" s="220" t="s">
        <v>144</v>
      </c>
      <c r="EE73" s="221">
        <f>'Standard Vorgaben'!C40</f>
        <v>6000</v>
      </c>
      <c r="EJ73" s="17"/>
    </row>
    <row r="74" spans="1:249" s="23" customFormat="1" ht="15.75" x14ac:dyDescent="0.25">
      <c r="B74" s="219"/>
      <c r="R74" s="51"/>
      <c r="V74" s="251"/>
      <c r="AA74" s="252"/>
    </row>
    <row r="75" spans="1:249" s="52" customFormat="1" x14ac:dyDescent="0.2">
      <c r="A75" s="216"/>
      <c r="B75" s="240"/>
      <c r="D75" s="54"/>
      <c r="E75" s="55"/>
      <c r="F75" s="56"/>
      <c r="G75" s="54"/>
      <c r="I75" s="53"/>
      <c r="J75" s="54"/>
      <c r="K75" s="54"/>
      <c r="L75" s="55"/>
      <c r="M75" s="56"/>
      <c r="N75" s="54"/>
      <c r="O75" s="23"/>
      <c r="P75" s="53"/>
      <c r="Q75" s="23"/>
      <c r="R75" s="51"/>
      <c r="S75" s="23"/>
      <c r="T75" s="83"/>
      <c r="U75" s="54"/>
      <c r="W75" s="53"/>
      <c r="X75" s="54"/>
      <c r="Y75" s="57"/>
      <c r="Z75" s="55"/>
      <c r="AA75" s="56"/>
      <c r="AB75" s="54"/>
      <c r="AD75" s="53"/>
      <c r="AE75" s="54"/>
      <c r="AF75" s="57"/>
      <c r="AG75" s="55"/>
      <c r="AH75" s="56"/>
      <c r="AI75" s="54"/>
      <c r="AK75" s="53"/>
      <c r="AL75" s="54"/>
      <c r="AM75" s="57"/>
      <c r="AN75" s="55"/>
      <c r="AO75" s="56"/>
      <c r="AP75" s="54"/>
      <c r="AR75" s="53"/>
      <c r="AS75" s="54"/>
      <c r="AT75" s="57"/>
      <c r="AU75" s="55"/>
      <c r="AV75" s="56"/>
      <c r="AW75" s="54"/>
      <c r="BM75" s="53"/>
      <c r="BN75" s="54"/>
      <c r="BO75" s="57"/>
      <c r="BP75" s="55"/>
      <c r="BQ75" s="56"/>
      <c r="BR75" s="54"/>
      <c r="BT75" s="53"/>
      <c r="BU75" s="54"/>
      <c r="BV75" s="57"/>
      <c r="BW75" s="55"/>
      <c r="BX75" s="56"/>
      <c r="BY75" s="54"/>
    </row>
    <row r="76" spans="1:249" s="52" customFormat="1" ht="20.25" customHeight="1" x14ac:dyDescent="0.2">
      <c r="C76" s="218"/>
      <c r="D76" s="58"/>
      <c r="E76" s="59"/>
      <c r="F76" s="60"/>
      <c r="G76" s="58"/>
      <c r="I76" s="53"/>
      <c r="J76" s="58"/>
      <c r="K76" s="58"/>
      <c r="L76" s="59"/>
      <c r="M76" s="60"/>
      <c r="N76" s="58"/>
      <c r="P76" s="53"/>
      <c r="Q76" s="58"/>
      <c r="R76" s="61"/>
      <c r="S76" s="59"/>
      <c r="T76" s="60"/>
      <c r="U76" s="58"/>
      <c r="W76" s="53"/>
      <c r="X76" s="58"/>
      <c r="Y76" s="61"/>
      <c r="Z76" s="59"/>
      <c r="AA76" s="60"/>
      <c r="AB76" s="58"/>
      <c r="AD76" s="53"/>
      <c r="AE76" s="58"/>
      <c r="AF76" s="61"/>
      <c r="AG76" s="59"/>
      <c r="AH76" s="60"/>
      <c r="AI76" s="58"/>
      <c r="AK76" s="53"/>
      <c r="AL76" s="58"/>
      <c r="AM76" s="61"/>
      <c r="AN76" s="59"/>
      <c r="AO76" s="60"/>
      <c r="AP76" s="58"/>
      <c r="AR76" s="53"/>
      <c r="AS76" s="58"/>
      <c r="AT76" s="61"/>
      <c r="AU76" s="59"/>
      <c r="AV76" s="60"/>
      <c r="AW76" s="58"/>
      <c r="BM76" s="53"/>
      <c r="BN76" s="58"/>
      <c r="BO76" s="61"/>
      <c r="BP76" s="59"/>
      <c r="BQ76" s="60"/>
      <c r="BR76" s="58"/>
      <c r="BT76" s="53"/>
      <c r="BU76" s="58"/>
      <c r="BV76" s="61"/>
      <c r="BW76" s="59"/>
      <c r="BX76" s="60"/>
      <c r="BY76" s="58"/>
    </row>
    <row r="77" spans="1:249" s="23" customFormat="1" x14ac:dyDescent="0.2">
      <c r="B77" s="59"/>
      <c r="C77" s="241"/>
      <c r="D77" s="58"/>
      <c r="F77" s="60"/>
      <c r="G77" s="58"/>
      <c r="H77" s="58"/>
      <c r="I77" s="58"/>
      <c r="O77" s="58"/>
      <c r="P77" s="58"/>
      <c r="R77" s="51"/>
    </row>
    <row r="78" spans="1:249" s="23" customFormat="1" x14ac:dyDescent="0.2">
      <c r="A78" s="190"/>
      <c r="B78" s="192"/>
      <c r="C78" s="58"/>
      <c r="D78" s="58"/>
      <c r="F78" s="60"/>
      <c r="G78" s="58"/>
      <c r="H78" s="58"/>
      <c r="I78" s="58"/>
      <c r="O78" s="58"/>
      <c r="P78" s="58"/>
      <c r="R78" s="51"/>
    </row>
    <row r="79" spans="1:249" s="23" customFormat="1" x14ac:dyDescent="0.2">
      <c r="A79" s="52"/>
      <c r="B79" s="242"/>
      <c r="C79" s="58"/>
      <c r="D79" s="58"/>
      <c r="E79" s="217"/>
      <c r="F79" s="60"/>
      <c r="G79" s="58"/>
      <c r="H79" s="58"/>
      <c r="I79" s="58"/>
      <c r="O79" s="58"/>
      <c r="P79" s="58"/>
      <c r="R79" s="51"/>
    </row>
    <row r="80" spans="1:249" s="23" customFormat="1" x14ac:dyDescent="0.2">
      <c r="A80" s="52"/>
      <c r="B80" s="192"/>
      <c r="C80" s="58"/>
      <c r="G80" s="58"/>
      <c r="H80" s="52"/>
      <c r="N80" s="58"/>
      <c r="O80" s="52"/>
      <c r="R80" s="51"/>
      <c r="U80" s="58"/>
      <c r="V80" s="52"/>
      <c r="Y80" s="51"/>
      <c r="AB80" s="58"/>
      <c r="AC80" s="52"/>
      <c r="AF80" s="51"/>
      <c r="AI80" s="58"/>
      <c r="AJ80" s="52"/>
      <c r="AM80" s="51"/>
      <c r="AP80" s="58"/>
      <c r="AQ80" s="52"/>
      <c r="AT80" s="51"/>
      <c r="AW80" s="58"/>
      <c r="BL80" s="52"/>
      <c r="BO80" s="51"/>
      <c r="BR80" s="58"/>
      <c r="BS80" s="52"/>
      <c r="BV80" s="51"/>
      <c r="BY80" s="58"/>
    </row>
    <row r="81" spans="1:18" s="23" customFormat="1" x14ac:dyDescent="0.2">
      <c r="A81" s="52"/>
      <c r="B81" s="242"/>
      <c r="C81" s="58"/>
      <c r="D81" s="58"/>
      <c r="E81" s="59"/>
      <c r="F81" s="60"/>
      <c r="G81" s="58"/>
      <c r="H81" s="58"/>
      <c r="I81" s="58"/>
      <c r="O81" s="58"/>
      <c r="P81" s="58"/>
      <c r="R81" s="51"/>
    </row>
    <row r="82" spans="1:18" s="23" customFormat="1" x14ac:dyDescent="0.2">
      <c r="A82" s="52"/>
      <c r="B82" s="242"/>
      <c r="C82" s="58"/>
      <c r="D82" s="58"/>
      <c r="E82" s="59"/>
      <c r="F82" s="60"/>
      <c r="G82" s="58"/>
      <c r="H82" s="58"/>
      <c r="I82" s="58"/>
      <c r="O82" s="58"/>
      <c r="P82" s="58"/>
      <c r="R82" s="51"/>
    </row>
    <row r="83" spans="1:18" s="23" customFormat="1" x14ac:dyDescent="0.2">
      <c r="A83" s="52"/>
      <c r="B83" s="242"/>
      <c r="C83" s="58"/>
      <c r="D83" s="58"/>
      <c r="E83" s="59"/>
      <c r="F83" s="60"/>
      <c r="G83" s="58"/>
      <c r="H83" s="58"/>
      <c r="I83" s="58"/>
      <c r="O83" s="58"/>
      <c r="P83" s="58"/>
      <c r="R83" s="51"/>
    </row>
    <row r="84" spans="1:18" s="23" customFormat="1" x14ac:dyDescent="0.2">
      <c r="A84" s="52"/>
      <c r="B84" s="192"/>
      <c r="C84" s="58"/>
    </row>
    <row r="85" spans="1:18" s="23" customFormat="1" x14ac:dyDescent="0.2">
      <c r="A85" s="52"/>
      <c r="B85" s="242"/>
      <c r="C85" s="58"/>
      <c r="D85" s="58"/>
      <c r="E85" s="59"/>
      <c r="F85" s="60"/>
      <c r="G85" s="58"/>
      <c r="H85" s="58"/>
      <c r="I85" s="58"/>
      <c r="O85" s="58"/>
      <c r="P85" s="58"/>
      <c r="R85" s="51"/>
    </row>
    <row r="86" spans="1:18" s="23" customFormat="1" x14ac:dyDescent="0.2">
      <c r="A86" s="52"/>
      <c r="B86" s="242"/>
      <c r="C86" s="58"/>
      <c r="D86" s="58"/>
      <c r="E86" s="59"/>
      <c r="F86" s="60"/>
      <c r="G86" s="58"/>
      <c r="H86" s="58"/>
      <c r="I86" s="58"/>
      <c r="O86" s="58"/>
      <c r="P86" s="58"/>
      <c r="R86" s="51"/>
    </row>
    <row r="87" spans="1:18" s="23" customFormat="1" x14ac:dyDescent="0.2">
      <c r="A87" s="52"/>
      <c r="B87" s="242"/>
      <c r="C87" s="58"/>
      <c r="D87" s="58"/>
      <c r="E87" s="59"/>
      <c r="F87" s="60"/>
      <c r="G87" s="58"/>
      <c r="H87" s="58"/>
      <c r="I87" s="58"/>
      <c r="O87" s="58"/>
      <c r="P87" s="58"/>
      <c r="R87" s="51"/>
    </row>
    <row r="88" spans="1:18" s="23" customFormat="1" x14ac:dyDescent="0.2">
      <c r="A88" s="52"/>
      <c r="B88" s="242"/>
      <c r="C88" s="58"/>
      <c r="D88" s="241"/>
      <c r="E88" s="61"/>
      <c r="F88" s="60"/>
      <c r="G88" s="58"/>
      <c r="H88" s="58"/>
      <c r="I88" s="58"/>
      <c r="O88" s="58"/>
      <c r="P88" s="58"/>
      <c r="R88" s="51"/>
    </row>
    <row r="89" spans="1:18" s="23" customFormat="1" x14ac:dyDescent="0.2">
      <c r="A89" s="52"/>
      <c r="B89" s="242"/>
      <c r="C89" s="58"/>
      <c r="D89" s="58"/>
      <c r="E89" s="59"/>
      <c r="F89" s="60"/>
      <c r="G89" s="58"/>
      <c r="H89" s="58"/>
      <c r="I89" s="58"/>
      <c r="O89" s="58"/>
      <c r="P89" s="58"/>
      <c r="R89" s="51"/>
    </row>
    <row r="90" spans="1:18" s="23" customFormat="1" x14ac:dyDescent="0.2">
      <c r="A90" s="52"/>
      <c r="B90" s="242"/>
      <c r="C90" s="58"/>
      <c r="D90" s="58"/>
      <c r="E90" s="59"/>
      <c r="F90" s="60"/>
      <c r="G90" s="58"/>
      <c r="H90" s="58"/>
      <c r="I90" s="58"/>
      <c r="O90" s="58"/>
      <c r="P90" s="58"/>
      <c r="R90" s="51"/>
    </row>
    <row r="91" spans="1:18" s="23" customFormat="1" x14ac:dyDescent="0.2">
      <c r="A91" s="52"/>
      <c r="B91" s="242"/>
      <c r="C91" s="58"/>
      <c r="D91" s="58"/>
      <c r="E91" s="59"/>
      <c r="F91" s="60"/>
      <c r="G91" s="58"/>
      <c r="H91" s="58"/>
      <c r="I91" s="58"/>
      <c r="O91" s="58"/>
      <c r="P91" s="58"/>
      <c r="R91" s="51"/>
    </row>
    <row r="92" spans="1:18" s="23" customFormat="1" x14ac:dyDescent="0.2">
      <c r="A92" s="52"/>
      <c r="B92" s="242"/>
      <c r="C92" s="58"/>
      <c r="D92" s="58"/>
      <c r="E92" s="59"/>
      <c r="F92" s="60"/>
      <c r="G92" s="58"/>
      <c r="H92" s="58"/>
      <c r="I92" s="58"/>
      <c r="O92" s="58"/>
      <c r="P92" s="58"/>
      <c r="R92" s="51"/>
    </row>
    <row r="93" spans="1:18" s="23" customFormat="1" x14ac:dyDescent="0.2">
      <c r="A93" s="52"/>
      <c r="B93" s="242"/>
      <c r="C93" s="58"/>
      <c r="D93" s="58"/>
      <c r="E93" s="59"/>
      <c r="F93" s="60"/>
      <c r="G93" s="58"/>
      <c r="H93" s="58"/>
      <c r="I93" s="58"/>
      <c r="O93" s="58"/>
      <c r="P93" s="58"/>
      <c r="R93" s="51"/>
    </row>
    <row r="94" spans="1:18" s="23" customFormat="1" x14ac:dyDescent="0.2">
      <c r="A94" s="52"/>
      <c r="B94" s="242"/>
      <c r="C94" s="58"/>
      <c r="D94" s="58"/>
      <c r="E94" s="61"/>
      <c r="F94" s="60"/>
      <c r="G94" s="58"/>
      <c r="H94" s="58"/>
      <c r="I94" s="58"/>
      <c r="O94" s="58"/>
      <c r="P94" s="58"/>
      <c r="R94" s="51"/>
    </row>
    <row r="95" spans="1:18" s="23" customFormat="1" x14ac:dyDescent="0.2">
      <c r="A95" s="52"/>
      <c r="B95" s="242"/>
      <c r="C95" s="58"/>
      <c r="D95" s="58"/>
      <c r="E95" s="59"/>
      <c r="F95" s="60"/>
      <c r="G95" s="58"/>
      <c r="H95" s="58"/>
      <c r="I95" s="58"/>
      <c r="O95" s="58"/>
      <c r="P95" s="58"/>
      <c r="R95" s="51"/>
    </row>
    <row r="96" spans="1:18" s="23" customFormat="1" x14ac:dyDescent="0.2">
      <c r="A96" s="52"/>
      <c r="B96" s="242"/>
      <c r="C96" s="58"/>
      <c r="D96" s="58"/>
      <c r="E96" s="59"/>
      <c r="F96" s="60"/>
      <c r="G96" s="58"/>
      <c r="H96" s="58"/>
      <c r="I96" s="58"/>
      <c r="O96" s="58"/>
      <c r="P96" s="58"/>
      <c r="R96" s="51"/>
    </row>
    <row r="97" spans="1:18" s="23" customFormat="1" x14ac:dyDescent="0.2">
      <c r="A97" s="52"/>
      <c r="B97" s="242"/>
      <c r="C97" s="58"/>
      <c r="D97" s="58"/>
      <c r="E97" s="59"/>
      <c r="F97" s="60"/>
      <c r="G97" s="58"/>
      <c r="H97" s="58"/>
      <c r="I97" s="58"/>
      <c r="O97" s="58"/>
      <c r="P97" s="58"/>
      <c r="R97" s="51"/>
    </row>
    <row r="98" spans="1:18" s="23" customFormat="1" x14ac:dyDescent="0.2">
      <c r="A98" s="52"/>
      <c r="B98" s="54"/>
      <c r="C98" s="58"/>
      <c r="D98" s="58"/>
      <c r="E98" s="59"/>
      <c r="F98" s="60"/>
      <c r="G98" s="58"/>
      <c r="H98" s="58"/>
      <c r="I98" s="58"/>
      <c r="O98" s="58"/>
      <c r="P98" s="58"/>
      <c r="R98" s="51"/>
    </row>
    <row r="99" spans="1:18" s="23" customFormat="1" x14ac:dyDescent="0.2">
      <c r="A99" s="52"/>
      <c r="B99" s="53"/>
      <c r="C99" s="58"/>
      <c r="D99" s="58"/>
      <c r="E99" s="59"/>
      <c r="F99" s="60"/>
      <c r="G99" s="58"/>
      <c r="H99" s="58"/>
      <c r="I99" s="58"/>
      <c r="O99" s="58"/>
      <c r="P99" s="58"/>
      <c r="R99" s="51"/>
    </row>
    <row r="100" spans="1:18" s="23" customFormat="1" x14ac:dyDescent="0.2">
      <c r="A100" s="52"/>
      <c r="B100" s="53"/>
      <c r="C100" s="58"/>
      <c r="D100" s="58"/>
      <c r="E100" s="59"/>
      <c r="F100" s="60"/>
      <c r="G100" s="58"/>
      <c r="H100" s="58"/>
      <c r="I100" s="58"/>
      <c r="O100" s="58"/>
      <c r="P100" s="58"/>
      <c r="R100" s="51"/>
    </row>
    <row r="101" spans="1:18" s="23" customFormat="1" x14ac:dyDescent="0.2">
      <c r="A101" s="52"/>
      <c r="B101" s="53"/>
      <c r="C101" s="58"/>
      <c r="D101" s="58"/>
      <c r="E101" s="59"/>
      <c r="F101" s="60"/>
      <c r="G101" s="58"/>
      <c r="H101" s="58"/>
      <c r="I101" s="58"/>
      <c r="O101" s="58"/>
      <c r="P101" s="58"/>
      <c r="R101" s="51"/>
    </row>
    <row r="102" spans="1:18" s="23" customFormat="1" x14ac:dyDescent="0.2">
      <c r="A102" s="52"/>
      <c r="B102" s="53"/>
      <c r="C102" s="58"/>
      <c r="D102" s="58"/>
      <c r="E102" s="59"/>
      <c r="F102" s="60"/>
      <c r="G102" s="58"/>
      <c r="H102" s="58"/>
      <c r="I102" s="58"/>
      <c r="O102" s="58"/>
      <c r="P102" s="58"/>
      <c r="R102" s="51"/>
    </row>
    <row r="103" spans="1:18" s="23" customFormat="1" x14ac:dyDescent="0.2">
      <c r="A103" s="52"/>
      <c r="B103" s="53"/>
      <c r="C103" s="58"/>
      <c r="D103" s="58"/>
      <c r="E103" s="59"/>
      <c r="F103" s="60"/>
      <c r="G103" s="58"/>
      <c r="H103" s="58"/>
      <c r="I103" s="58"/>
      <c r="O103" s="58"/>
      <c r="P103" s="58"/>
      <c r="R103" s="51"/>
    </row>
    <row r="104" spans="1:18" s="23" customFormat="1" x14ac:dyDescent="0.2">
      <c r="A104" s="52"/>
      <c r="B104" s="53"/>
      <c r="C104" s="58"/>
      <c r="D104" s="58"/>
      <c r="E104" s="59"/>
      <c r="F104" s="60"/>
      <c r="G104" s="58"/>
      <c r="H104" s="58"/>
      <c r="I104" s="58"/>
      <c r="O104" s="58"/>
      <c r="P104" s="58"/>
      <c r="R104" s="51"/>
    </row>
    <row r="105" spans="1:18" x14ac:dyDescent="0.2">
      <c r="O105" s="12"/>
      <c r="P105" s="12"/>
    </row>
    <row r="106" spans="1:18" x14ac:dyDescent="0.2">
      <c r="O106" s="12"/>
      <c r="P106" s="12"/>
    </row>
    <row r="107" spans="1:18" x14ac:dyDescent="0.2">
      <c r="O107" s="12"/>
      <c r="P107" s="12"/>
    </row>
    <row r="108" spans="1:18" x14ac:dyDescent="0.2">
      <c r="O108" s="12"/>
      <c r="P108" s="12"/>
    </row>
    <row r="109" spans="1:18" x14ac:dyDescent="0.2">
      <c r="O109" s="12"/>
      <c r="P109" s="12"/>
    </row>
    <row r="110" spans="1:18" x14ac:dyDescent="0.2">
      <c r="O110" s="12"/>
      <c r="P110" s="12"/>
    </row>
    <row r="111" spans="1:18" x14ac:dyDescent="0.2">
      <c r="O111" s="12"/>
      <c r="P111" s="12"/>
    </row>
    <row r="112" spans="1:18" x14ac:dyDescent="0.2">
      <c r="O112" s="12"/>
      <c r="P112" s="12"/>
    </row>
    <row r="113" spans="15:16" x14ac:dyDescent="0.2">
      <c r="O113" s="12"/>
      <c r="P113" s="12"/>
    </row>
    <row r="114" spans="15:16" x14ac:dyDescent="0.2">
      <c r="O114" s="12"/>
      <c r="P114" s="12"/>
    </row>
    <row r="115" spans="15:16" x14ac:dyDescent="0.2">
      <c r="O115" s="12"/>
      <c r="P115" s="12"/>
    </row>
    <row r="116" spans="15:16" x14ac:dyDescent="0.2">
      <c r="O116" s="12"/>
      <c r="P116" s="12"/>
    </row>
    <row r="117" spans="15:16" x14ac:dyDescent="0.2">
      <c r="O117" s="12"/>
      <c r="P117" s="12"/>
    </row>
    <row r="118" spans="15:16" x14ac:dyDescent="0.2">
      <c r="O118" s="12"/>
      <c r="P118" s="12"/>
    </row>
    <row r="119" spans="15:16" x14ac:dyDescent="0.2">
      <c r="O119" s="12"/>
      <c r="P119" s="12"/>
    </row>
    <row r="120" spans="15:16" x14ac:dyDescent="0.2">
      <c r="O120" s="12"/>
      <c r="P120" s="12"/>
    </row>
    <row r="121" spans="15:16" x14ac:dyDescent="0.2">
      <c r="O121" s="12"/>
      <c r="P121" s="12"/>
    </row>
    <row r="122" spans="15:16" x14ac:dyDescent="0.2">
      <c r="O122" s="12"/>
      <c r="P122" s="12"/>
    </row>
    <row r="123" spans="15:16" x14ac:dyDescent="0.2">
      <c r="O123" s="12"/>
      <c r="P123" s="12"/>
    </row>
    <row r="124" spans="15:16" x14ac:dyDescent="0.2">
      <c r="O124" s="12"/>
      <c r="P124" s="12"/>
    </row>
    <row r="125" spans="15:16" x14ac:dyDescent="0.2">
      <c r="O125" s="12"/>
      <c r="P125" s="12"/>
    </row>
    <row r="126" spans="15:16" x14ac:dyDescent="0.2">
      <c r="O126" s="12"/>
      <c r="P126" s="12"/>
    </row>
    <row r="127" spans="15:16" x14ac:dyDescent="0.2">
      <c r="O127" s="12"/>
      <c r="P127" s="12"/>
    </row>
    <row r="128" spans="15:16" x14ac:dyDescent="0.2">
      <c r="O128" s="12"/>
      <c r="P128" s="12"/>
    </row>
    <row r="129" spans="15:16" x14ac:dyDescent="0.2">
      <c r="O129" s="12"/>
      <c r="P129" s="12"/>
    </row>
    <row r="130" spans="15:16" x14ac:dyDescent="0.2">
      <c r="O130" s="12"/>
      <c r="P130" s="12"/>
    </row>
    <row r="131" spans="15:16" x14ac:dyDescent="0.2">
      <c r="O131" s="12"/>
      <c r="P131" s="12"/>
    </row>
    <row r="132" spans="15:16" x14ac:dyDescent="0.2">
      <c r="O132" s="12"/>
      <c r="P132" s="12"/>
    </row>
    <row r="133" spans="15:16" x14ac:dyDescent="0.2">
      <c r="O133" s="12"/>
      <c r="P133" s="12"/>
    </row>
    <row r="134" spans="15:16" x14ac:dyDescent="0.2">
      <c r="O134" s="12"/>
      <c r="P134" s="12"/>
    </row>
    <row r="135" spans="15:16" x14ac:dyDescent="0.2">
      <c r="O135" s="12"/>
      <c r="P135" s="12"/>
    </row>
    <row r="136" spans="15:16" x14ac:dyDescent="0.2">
      <c r="O136" s="12"/>
      <c r="P136" s="12"/>
    </row>
    <row r="137" spans="15:16" x14ac:dyDescent="0.2">
      <c r="O137" s="12"/>
      <c r="P137" s="12"/>
    </row>
    <row r="138" spans="15:16" x14ac:dyDescent="0.2">
      <c r="O138" s="12"/>
      <c r="P138" s="12"/>
    </row>
    <row r="139" spans="15:16" x14ac:dyDescent="0.2">
      <c r="O139" s="12"/>
      <c r="P139" s="12"/>
    </row>
    <row r="140" spans="15:16" x14ac:dyDescent="0.2">
      <c r="O140" s="12"/>
      <c r="P140" s="12"/>
    </row>
    <row r="141" spans="15:16" x14ac:dyDescent="0.2">
      <c r="O141" s="12"/>
      <c r="P141" s="12"/>
    </row>
    <row r="142" spans="15:16" x14ac:dyDescent="0.2">
      <c r="O142" s="12"/>
      <c r="P142" s="12"/>
    </row>
    <row r="143" spans="15:16" x14ac:dyDescent="0.2">
      <c r="O143" s="12"/>
      <c r="P143" s="12"/>
    </row>
    <row r="144" spans="15:16" x14ac:dyDescent="0.2">
      <c r="O144" s="12"/>
      <c r="P144" s="12"/>
    </row>
    <row r="145" spans="15:16" x14ac:dyDescent="0.2">
      <c r="O145" s="12"/>
      <c r="P145" s="12"/>
    </row>
    <row r="146" spans="15:16" x14ac:dyDescent="0.2">
      <c r="O146" s="12"/>
      <c r="P146" s="12"/>
    </row>
    <row r="147" spans="15:16" x14ac:dyDescent="0.2">
      <c r="O147" s="12"/>
      <c r="P147" s="12"/>
    </row>
    <row r="148" spans="15:16" x14ac:dyDescent="0.2">
      <c r="O148" s="12"/>
      <c r="P148" s="12"/>
    </row>
    <row r="149" spans="15:16" x14ac:dyDescent="0.2">
      <c r="O149" s="12"/>
      <c r="P149" s="12"/>
    </row>
    <row r="150" spans="15:16" x14ac:dyDescent="0.2">
      <c r="O150" s="12"/>
      <c r="P150" s="12"/>
    </row>
    <row r="151" spans="15:16" x14ac:dyDescent="0.2">
      <c r="O151" s="12"/>
      <c r="P151" s="12"/>
    </row>
    <row r="152" spans="15:16" x14ac:dyDescent="0.2">
      <c r="O152" s="12"/>
      <c r="P152" s="12"/>
    </row>
    <row r="153" spans="15:16" x14ac:dyDescent="0.2">
      <c r="O153" s="12"/>
      <c r="P153" s="12"/>
    </row>
    <row r="154" spans="15:16" x14ac:dyDescent="0.2">
      <c r="O154" s="12"/>
      <c r="P154" s="12"/>
    </row>
    <row r="155" spans="15:16" x14ac:dyDescent="0.2">
      <c r="O155" s="12"/>
      <c r="P155" s="12"/>
    </row>
    <row r="156" spans="15:16" x14ac:dyDescent="0.2">
      <c r="O156" s="12"/>
      <c r="P156" s="12"/>
    </row>
    <row r="157" spans="15:16" x14ac:dyDescent="0.2">
      <c r="O157" s="12"/>
      <c r="P157" s="12"/>
    </row>
    <row r="158" spans="15:16" x14ac:dyDescent="0.2">
      <c r="O158" s="12"/>
      <c r="P158" s="12"/>
    </row>
    <row r="159" spans="15:16" x14ac:dyDescent="0.2">
      <c r="O159" s="12"/>
      <c r="P159" s="12"/>
    </row>
    <row r="160" spans="15:16" x14ac:dyDescent="0.2">
      <c r="O160" s="12"/>
      <c r="P160" s="12"/>
    </row>
  </sheetData>
  <mergeCells count="34">
    <mergeCell ref="CU1:CV1"/>
    <mergeCell ref="BE1:BF1"/>
    <mergeCell ref="BL1:BM1"/>
    <mergeCell ref="BS1:BT1"/>
    <mergeCell ref="BZ1:CA1"/>
    <mergeCell ref="CW5:DA5"/>
    <mergeCell ref="BG5:BK5"/>
    <mergeCell ref="BN5:BR5"/>
    <mergeCell ref="BU5:BY5"/>
    <mergeCell ref="CB5:CF5"/>
    <mergeCell ref="CP5:CT5"/>
    <mergeCell ref="CI5:CM5"/>
    <mergeCell ref="C5:G5"/>
    <mergeCell ref="J5:N5"/>
    <mergeCell ref="Q5:U5"/>
    <mergeCell ref="X5:AB5"/>
    <mergeCell ref="AQ1:AR1"/>
    <mergeCell ref="AL5:AP5"/>
    <mergeCell ref="AC1:AD1"/>
    <mergeCell ref="AJ1:AK1"/>
    <mergeCell ref="H1:I1"/>
    <mergeCell ref="O1:P1"/>
    <mergeCell ref="V1:W1"/>
    <mergeCell ref="AE5:AI5"/>
    <mergeCell ref="AX1:AY1"/>
    <mergeCell ref="CG1:CH1"/>
    <mergeCell ref="CN1:CO1"/>
    <mergeCell ref="AS5:AW5"/>
    <mergeCell ref="AZ5:BD5"/>
    <mergeCell ref="EF5:EJ5"/>
    <mergeCell ref="DD5:DH5"/>
    <mergeCell ref="DK5:DO5"/>
    <mergeCell ref="DR5:DV5"/>
    <mergeCell ref="DY5:EC5"/>
  </mergeCells>
  <phoneticPr fontId="24" type="noConversion"/>
  <printOptions gridLines="1" gridLinesSet="0"/>
  <pageMargins left="0.78740157480314965" right="0.59055118110236227" top="0.78740157480314965" bottom="0.78740157480314965" header="0.51181102362204722" footer="0.51181102362204722"/>
  <pageSetup paperSize="9" scale="65" orientation="portrait" r:id="rId1"/>
  <headerFooter alignWithMargins="0">
    <oddFooter>&amp;L&amp;6&amp;F&amp;C&amp;6&amp;A  &amp;D&amp;R&amp;6Kontakt: patrik.mouron.faw.admin.ch</oddFooter>
  </headerFooter>
  <colBreaks count="4" manualBreakCount="4">
    <brk id="7" max="1048575" man="1"/>
    <brk id="14" max="1048575" man="1"/>
    <brk id="21" max="1048575" man="1"/>
    <brk id="42" max="1048575" man="1"/>
  </colBreaks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tandardErtragsphase">
    <tabColor indexed="18"/>
  </sheetPr>
  <dimension ref="A1:K167"/>
  <sheetViews>
    <sheetView topLeftCell="A22" zoomScale="85" zoomScaleNormal="85" workbookViewId="0">
      <selection activeCell="F75" sqref="F75"/>
    </sheetView>
  </sheetViews>
  <sheetFormatPr baseColWidth="10" defaultRowHeight="12.75" x14ac:dyDescent="0.2"/>
  <cols>
    <col min="1" max="1" width="38" customWidth="1"/>
    <col min="2" max="2" width="28" customWidth="1"/>
    <col min="3" max="3" width="17.7109375" customWidth="1"/>
    <col min="4" max="5" width="14.7109375" customWidth="1"/>
    <col min="6" max="6" width="14.42578125" customWidth="1"/>
    <col min="7" max="7" width="10.7109375" customWidth="1"/>
    <col min="8" max="8" width="8.5703125" customWidth="1"/>
    <col min="9" max="9" width="15.5703125" customWidth="1"/>
    <col min="10" max="10" width="13.7109375" style="12" customWidth="1"/>
    <col min="11" max="11" width="11.42578125" style="18" customWidth="1"/>
  </cols>
  <sheetData>
    <row r="1" spans="1:11" ht="31.5" customHeight="1" x14ac:dyDescent="0.25">
      <c r="A1" s="1036" t="str">
        <f>'Standard Vorgaben'!A1</f>
        <v>Arbokost 2023</v>
      </c>
      <c r="B1" s="636" t="str">
        <f>'Standard Erstellung'!B1</f>
        <v>Tafelbirnen</v>
      </c>
      <c r="C1" s="448"/>
      <c r="D1" s="448"/>
      <c r="E1" s="452"/>
      <c r="F1" s="450"/>
      <c r="G1" s="637"/>
      <c r="H1" s="70"/>
    </row>
    <row r="2" spans="1:11" ht="24.75" customHeight="1" x14ac:dyDescent="0.3">
      <c r="A2" s="870" t="str">
        <f>'Standard Vorgaben'!A2</f>
        <v>Standard 1ha</v>
      </c>
      <c r="B2" s="638">
        <f>'Standard Vorgaben'!B12</f>
        <v>2000</v>
      </c>
      <c r="C2" s="1284"/>
      <c r="D2" s="1284"/>
      <c r="E2" s="1284"/>
      <c r="F2" s="1284"/>
      <c r="G2" s="640"/>
      <c r="H2" s="1"/>
      <c r="I2" s="1"/>
    </row>
    <row r="3" spans="1:11" s="23" customFormat="1" ht="15" customHeight="1" x14ac:dyDescent="0.3">
      <c r="A3" s="643"/>
      <c r="B3" s="641"/>
      <c r="C3" s="642"/>
      <c r="D3" s="642"/>
      <c r="E3" s="642"/>
      <c r="F3" s="642"/>
      <c r="G3" s="640"/>
      <c r="J3" s="58"/>
      <c r="K3" s="192"/>
    </row>
    <row r="4" spans="1:11" s="23" customFormat="1" ht="15" customHeight="1" x14ac:dyDescent="0.3">
      <c r="A4" s="643"/>
      <c r="B4" s="641"/>
      <c r="C4" s="642"/>
      <c r="D4" s="642"/>
      <c r="E4" s="642"/>
      <c r="F4" s="248" t="s">
        <v>110</v>
      </c>
      <c r="G4" s="640"/>
      <c r="J4" s="58"/>
      <c r="K4" s="192"/>
    </row>
    <row r="5" spans="1:11" ht="23.25" x14ac:dyDescent="0.35">
      <c r="A5" s="644" t="s">
        <v>80</v>
      </c>
      <c r="B5" s="645" t="s">
        <v>388</v>
      </c>
      <c r="C5" s="445"/>
      <c r="D5" s="646"/>
      <c r="E5" s="647"/>
      <c r="F5" s="647"/>
      <c r="G5" s="648"/>
    </row>
    <row r="6" spans="1:11" ht="15.75" x14ac:dyDescent="0.25">
      <c r="B6" s="23"/>
      <c r="C6" s="23"/>
      <c r="D6" s="216"/>
      <c r="G6" s="75"/>
      <c r="I6" s="2"/>
    </row>
    <row r="7" spans="1:11" x14ac:dyDescent="0.2">
      <c r="C7" s="33" t="s">
        <v>71</v>
      </c>
      <c r="D7" s="33" t="s">
        <v>55</v>
      </c>
      <c r="E7" s="34" t="s">
        <v>178</v>
      </c>
      <c r="F7" s="330" t="s">
        <v>22</v>
      </c>
      <c r="G7" s="36"/>
      <c r="I7" s="1"/>
    </row>
    <row r="8" spans="1:11" s="1" customFormat="1" x14ac:dyDescent="0.2">
      <c r="A8" s="106" t="s">
        <v>259</v>
      </c>
      <c r="B8" s="125" t="str">
        <f>'Standard Vorgaben'!B47</f>
        <v>Klasse I</v>
      </c>
      <c r="C8" s="115">
        <f>D8/$B$2</f>
        <v>11.199999999999998</v>
      </c>
      <c r="D8" s="61">
        <f>D11*G8</f>
        <v>22399.999999999996</v>
      </c>
      <c r="E8" s="59">
        <f>'Standard Vorgaben'!B70</f>
        <v>1.22</v>
      </c>
      <c r="F8" s="60">
        <f>D8*E8</f>
        <v>27327.999999999996</v>
      </c>
      <c r="G8" s="211">
        <f>'Standard Vorgaben'!B96</f>
        <v>0.69999999999999984</v>
      </c>
      <c r="J8" s="46"/>
      <c r="K8" s="181"/>
    </row>
    <row r="9" spans="1:11" s="1" customFormat="1" x14ac:dyDescent="0.2">
      <c r="B9" s="106" t="str">
        <f>'Standard Vorgaben'!C47</f>
        <v>Klasse II</v>
      </c>
      <c r="C9" s="115">
        <f>D9/$B$2</f>
        <v>0.80000000000000016</v>
      </c>
      <c r="D9" s="61">
        <f>$D$11*G9</f>
        <v>1600.0000000000002</v>
      </c>
      <c r="E9" s="59">
        <f>'Standard Vorgaben'!C70</f>
        <v>0.40000000000000008</v>
      </c>
      <c r="F9" s="60">
        <f>D9*E9</f>
        <v>640.00000000000023</v>
      </c>
      <c r="G9" s="211">
        <f>'Standard Vorgaben'!C96</f>
        <v>5.000000000000001E-2</v>
      </c>
      <c r="J9" s="46"/>
      <c r="K9" s="181"/>
    </row>
    <row r="10" spans="1:11" s="23" customFormat="1" x14ac:dyDescent="0.2">
      <c r="A10" s="216"/>
      <c r="B10" s="125" t="str">
        <f>'Standard Vorgaben'!D47</f>
        <v>Mostobst total</v>
      </c>
      <c r="C10" s="116">
        <f>D10/$B$2</f>
        <v>4</v>
      </c>
      <c r="D10" s="117">
        <f>D11*G10</f>
        <v>8000</v>
      </c>
      <c r="E10" s="602">
        <f>'Standard Vorgaben'!D70</f>
        <v>0</v>
      </c>
      <c r="F10" s="118">
        <f>D10*E10</f>
        <v>0</v>
      </c>
      <c r="G10" s="649">
        <f>'Standard Vorgaben'!F96</f>
        <v>0.25</v>
      </c>
      <c r="J10" s="58"/>
      <c r="K10" s="192"/>
    </row>
    <row r="11" spans="1:11" s="1" customFormat="1" ht="19.5" customHeight="1" x14ac:dyDescent="0.2">
      <c r="B11" s="125"/>
      <c r="C11" s="85">
        <f>SUM(C8:C10)</f>
        <v>15.999999999999998</v>
      </c>
      <c r="D11" s="921">
        <f>'Standard Vorgaben'!E70</f>
        <v>32000</v>
      </c>
      <c r="E11" s="86">
        <f>F11/D11</f>
        <v>0.87399999999999989</v>
      </c>
      <c r="F11" s="119">
        <f>SUM(F8:F10)</f>
        <v>27967.999999999996</v>
      </c>
      <c r="G11" s="211">
        <f>SUM(G7:G10)</f>
        <v>0.99999999999999989</v>
      </c>
      <c r="I11" s="8"/>
      <c r="J11" s="46"/>
      <c r="K11" s="181"/>
    </row>
    <row r="12" spans="1:11" s="1" customFormat="1" ht="12" customHeight="1" x14ac:dyDescent="0.2">
      <c r="A12" s="52"/>
      <c r="B12" s="125" t="str">
        <f>'Standard Vorgaben'!A41</f>
        <v>Direktzahlungen ÖLN</v>
      </c>
      <c r="C12" s="84"/>
      <c r="D12" s="85"/>
      <c r="E12" s="86"/>
      <c r="F12" s="650">
        <f>'Standard Vorgaben'!C41</f>
        <v>1100</v>
      </c>
      <c r="G12" s="211"/>
      <c r="I12" s="651"/>
      <c r="J12" s="46"/>
      <c r="K12" s="181"/>
    </row>
    <row r="13" spans="1:11" ht="15.75" customHeight="1" thickBot="1" x14ac:dyDescent="0.3">
      <c r="A13" s="604" t="s">
        <v>342</v>
      </c>
      <c r="B13" s="654"/>
      <c r="C13" s="654"/>
      <c r="D13" s="654"/>
      <c r="E13" s="654"/>
      <c r="F13" s="1210">
        <f>SUM(F11:F12)</f>
        <v>29067.999999999996</v>
      </c>
      <c r="G13" s="655"/>
    </row>
    <row r="14" spans="1:11" x14ac:dyDescent="0.2">
      <c r="A14" s="4"/>
      <c r="B14" s="4"/>
      <c r="C14" s="33" t="s">
        <v>11</v>
      </c>
      <c r="D14" s="33" t="s">
        <v>152</v>
      </c>
      <c r="E14" s="34" t="s">
        <v>56</v>
      </c>
      <c r="F14" s="41" t="s">
        <v>13</v>
      </c>
      <c r="G14" s="36" t="s">
        <v>58</v>
      </c>
    </row>
    <row r="15" spans="1:11" s="1" customFormat="1" x14ac:dyDescent="0.2">
      <c r="A15" s="3" t="s">
        <v>29</v>
      </c>
      <c r="B15" s="4" t="str">
        <f>'Standard Vorgaben'!B110</f>
        <v>Stickstoff</v>
      </c>
      <c r="C15" s="608">
        <f>'Standard Vorgaben'!B126</f>
        <v>2</v>
      </c>
      <c r="D15" s="46">
        <f>'Standard Vorgaben'!B125</f>
        <v>200</v>
      </c>
      <c r="E15" s="62">
        <f>'Standard Vorgaben'!B111</f>
        <v>0.95</v>
      </c>
      <c r="F15" s="43">
        <f>D15*E15</f>
        <v>190</v>
      </c>
      <c r="G15" s="271">
        <f t="shared" ref="G15:G24" si="0">F15/$F$65</f>
        <v>4.8553431031813929E-3</v>
      </c>
      <c r="J15" s="46"/>
      <c r="K15" s="181"/>
    </row>
    <row r="16" spans="1:11" s="1" customFormat="1" x14ac:dyDescent="0.2">
      <c r="A16" s="3"/>
      <c r="B16" s="4" t="str">
        <f>'Standard Vorgaben'!C110</f>
        <v>Gurnddüngung</v>
      </c>
      <c r="C16" s="54">
        <f>'Standard Vorgaben'!C126</f>
        <v>1</v>
      </c>
      <c r="D16" s="46">
        <f>'Standard Vorgaben'!C125</f>
        <v>400</v>
      </c>
      <c r="E16" s="62">
        <f>'Standard Vorgaben'!C111</f>
        <v>0.43</v>
      </c>
      <c r="F16" s="60">
        <f>D16*E16</f>
        <v>172</v>
      </c>
      <c r="G16" s="271">
        <f t="shared" si="0"/>
        <v>4.3953632302484186E-3</v>
      </c>
      <c r="J16" s="46"/>
      <c r="K16" s="181"/>
    </row>
    <row r="17" spans="1:11" s="1" customFormat="1" x14ac:dyDescent="0.2">
      <c r="A17" s="3"/>
      <c r="B17" s="4" t="str">
        <f>'Standard Vorgaben'!$D$110</f>
        <v>Hühnermist</v>
      </c>
      <c r="C17" s="502">
        <f>'Standard Vorgaben'!$D$126</f>
        <v>1</v>
      </c>
      <c r="D17" s="192">
        <f>'Standard Vorgaben'!$D$125</f>
        <v>1000</v>
      </c>
      <c r="E17" s="59">
        <f>'Standard Vorgaben'!$D$111</f>
        <v>0.35</v>
      </c>
      <c r="F17" s="118">
        <f>C17*D17*E17</f>
        <v>350</v>
      </c>
      <c r="G17" s="271">
        <f t="shared" si="0"/>
        <v>8.9440530848078278E-3</v>
      </c>
      <c r="J17" s="46"/>
      <c r="K17" s="181"/>
    </row>
    <row r="18" spans="1:11" s="1" customFormat="1" x14ac:dyDescent="0.2">
      <c r="A18" s="610"/>
      <c r="B18" s="4"/>
      <c r="C18" s="46">
        <f>SUM(C15:C17)</f>
        <v>4</v>
      </c>
      <c r="D18" s="46"/>
      <c r="E18" s="62"/>
      <c r="F18" s="77">
        <f>SUM(F15:F17)</f>
        <v>712</v>
      </c>
      <c r="G18" s="271">
        <f t="shared" si="0"/>
        <v>1.819475941823764E-2</v>
      </c>
      <c r="J18" s="46"/>
      <c r="K18" s="181"/>
    </row>
    <row r="19" spans="1:11" s="1" customFormat="1" ht="18.600000000000001" customHeight="1" x14ac:dyDescent="0.2">
      <c r="A19" s="110" t="str">
        <f>'Standard Vorgaben'!$A$132</f>
        <v>Fungizide</v>
      </c>
      <c r="B19" s="4"/>
      <c r="C19" s="46"/>
      <c r="D19" s="88"/>
      <c r="E19" s="62"/>
      <c r="F19" s="43">
        <f>'Standard Vorgaben'!$F$132</f>
        <v>1100</v>
      </c>
      <c r="G19" s="271">
        <f t="shared" si="0"/>
        <v>2.8109881123681749E-2</v>
      </c>
      <c r="J19" s="46"/>
      <c r="K19" s="181"/>
    </row>
    <row r="20" spans="1:11" s="1" customFormat="1" x14ac:dyDescent="0.2">
      <c r="A20" s="110" t="str">
        <f>'Standard Vorgaben'!$A$133</f>
        <v>Feuerbrandbehandlungen</v>
      </c>
      <c r="B20" s="4"/>
      <c r="C20" s="46"/>
      <c r="D20" s="88"/>
      <c r="E20" s="62"/>
      <c r="F20" s="43">
        <f>'Standard Vorgaben'!$F$133</f>
        <v>550</v>
      </c>
      <c r="G20" s="271">
        <f t="shared" si="0"/>
        <v>1.4054940561840874E-2</v>
      </c>
      <c r="J20" s="46"/>
      <c r="K20" s="181"/>
    </row>
    <row r="21" spans="1:11" s="1" customFormat="1" x14ac:dyDescent="0.2">
      <c r="A21" s="110" t="str">
        <f>'Standard Vorgaben'!$A$134</f>
        <v>Insektizide</v>
      </c>
      <c r="B21" s="4"/>
      <c r="C21" s="46"/>
      <c r="D21" s="88"/>
      <c r="E21" s="62"/>
      <c r="F21" s="43">
        <f>'Standard Vorgaben'!$F$134</f>
        <v>2020</v>
      </c>
      <c r="G21" s="271">
        <f t="shared" si="0"/>
        <v>5.1619963518033753E-2</v>
      </c>
      <c r="H21" s="106"/>
      <c r="J21" s="46"/>
      <c r="K21" s="181"/>
    </row>
    <row r="22" spans="1:11" s="1" customFormat="1" x14ac:dyDescent="0.2">
      <c r="A22" s="110" t="str">
        <f>'Standard Vorgaben'!$A$135</f>
        <v>Herbizide</v>
      </c>
      <c r="B22" s="4"/>
      <c r="C22" s="46"/>
      <c r="D22" s="88"/>
      <c r="E22" s="62"/>
      <c r="F22" s="43">
        <f>'Standard Vorgaben'!$F$135</f>
        <v>570</v>
      </c>
      <c r="G22" s="271">
        <f t="shared" si="0"/>
        <v>1.4566029309544178E-2</v>
      </c>
      <c r="H22" s="106"/>
      <c r="J22" s="46"/>
      <c r="K22" s="181"/>
    </row>
    <row r="23" spans="1:11" s="1" customFormat="1" x14ac:dyDescent="0.2">
      <c r="A23" s="110" t="str">
        <f>'Standard Vorgaben'!$A$136</f>
        <v>Blatddüngung</v>
      </c>
      <c r="B23" s="4"/>
      <c r="C23" s="46"/>
      <c r="D23" s="88"/>
      <c r="E23" s="62"/>
      <c r="F23" s="118">
        <f>'Standard Vorgaben'!$F$136</f>
        <v>440</v>
      </c>
      <c r="G23" s="271">
        <f t="shared" si="0"/>
        <v>1.1243952449472698E-2</v>
      </c>
      <c r="J23" s="46"/>
      <c r="K23" s="181"/>
    </row>
    <row r="24" spans="1:11" s="1" customFormat="1" x14ac:dyDescent="0.2">
      <c r="A24" s="110"/>
      <c r="B24" s="4"/>
      <c r="C24" s="46"/>
      <c r="D24" s="88"/>
      <c r="E24" s="62"/>
      <c r="F24" s="43">
        <f>SUM(F19:F23)</f>
        <v>4680</v>
      </c>
      <c r="G24" s="271">
        <f t="shared" si="0"/>
        <v>0.11959476696257325</v>
      </c>
      <c r="J24" s="46"/>
      <c r="K24" s="181"/>
    </row>
    <row r="25" spans="1:11" s="1" customFormat="1" x14ac:dyDescent="0.2">
      <c r="A25" s="610"/>
      <c r="B25" s="224"/>
      <c r="C25" s="46"/>
      <c r="D25" s="46"/>
      <c r="E25" s="62"/>
      <c r="F25" s="77"/>
      <c r="G25" s="271"/>
      <c r="J25" s="46"/>
      <c r="K25" s="181"/>
    </row>
    <row r="26" spans="1:11" x14ac:dyDescent="0.2">
      <c r="A26" s="106" t="s">
        <v>473</v>
      </c>
      <c r="B26" s="1" t="str">
        <f>'Standard Vorgaben'!F40</f>
        <v>Klasse I+II</v>
      </c>
      <c r="C26" s="1"/>
      <c r="D26" s="4" t="s">
        <v>151</v>
      </c>
      <c r="E26" s="62">
        <f>'Standard Vorgaben'!G40</f>
        <v>325</v>
      </c>
      <c r="F26" s="120">
        <f>E26</f>
        <v>325</v>
      </c>
      <c r="G26" s="42">
        <f>F26/$F$65</f>
        <v>8.3051921501786988E-3</v>
      </c>
    </row>
    <row r="27" spans="1:11" x14ac:dyDescent="0.2">
      <c r="A27" s="3"/>
      <c r="B27" s="1" t="str">
        <f>'Standard Vorgaben'!F41</f>
        <v>Mostobst total</v>
      </c>
      <c r="C27" s="1"/>
      <c r="D27" s="4" t="s">
        <v>59</v>
      </c>
      <c r="E27" s="62">
        <f>'Standard Vorgaben'!G41</f>
        <v>1</v>
      </c>
      <c r="F27" s="120">
        <f>E27*$D$10/100</f>
        <v>80</v>
      </c>
      <c r="G27" s="42">
        <f>F27/$F$65</f>
        <v>2.0443549908132179E-3</v>
      </c>
    </row>
    <row r="28" spans="1:11" x14ac:dyDescent="0.2">
      <c r="A28" s="156" t="str">
        <f>'Standard Vorgaben'!E43</f>
        <v>Gebindekosten</v>
      </c>
      <c r="B28" s="187" t="str">
        <f>'Standard Vorgaben'!F43</f>
        <v>Klasse I+II</v>
      </c>
      <c r="C28" s="1"/>
      <c r="D28" s="1" t="s">
        <v>59</v>
      </c>
      <c r="E28" s="273">
        <f>'Standard Vorgaben'!G43</f>
        <v>0</v>
      </c>
      <c r="F28" s="120">
        <f>($D$8+$D$9)/100*E28</f>
        <v>0</v>
      </c>
      <c r="G28" s="42">
        <f>F28/$F$65</f>
        <v>0</v>
      </c>
    </row>
    <row r="29" spans="1:11" x14ac:dyDescent="0.2">
      <c r="A29" s="156" t="str">
        <f>'Standard Vorgaben'!E44</f>
        <v>Sortierkosten</v>
      </c>
      <c r="B29" s="1" t="str">
        <f>'Standard Vorgaben'!F44</f>
        <v>Klasse I+II</v>
      </c>
      <c r="C29" s="1"/>
      <c r="D29" s="1" t="s">
        <v>59</v>
      </c>
      <c r="E29" s="62">
        <f>'Standard Vorgaben'!G44</f>
        <v>0</v>
      </c>
      <c r="F29" s="120">
        <f>($D$8+$D$9)/100*E29</f>
        <v>0</v>
      </c>
      <c r="G29" s="42">
        <f t="shared" ref="G29:G35" si="1">F29/$F$65</f>
        <v>0</v>
      </c>
      <c r="H29" s="314"/>
      <c r="I29" s="1"/>
    </row>
    <row r="30" spans="1:11" x14ac:dyDescent="0.2">
      <c r="A30" s="156"/>
      <c r="B30" s="1" t="str">
        <f>'Standard Vorgaben'!E16</f>
        <v>Mostobst Sortierabgang</v>
      </c>
      <c r="C30" s="1"/>
      <c r="D30" s="1" t="s">
        <v>59</v>
      </c>
      <c r="E30" s="62">
        <f>'Standard Vorgaben'!G45</f>
        <v>0</v>
      </c>
      <c r="F30" s="228">
        <f>(E30/100)*('Standard Vorgaben'!D96*D11)</f>
        <v>0</v>
      </c>
      <c r="G30" s="42">
        <f t="shared" si="1"/>
        <v>0</v>
      </c>
      <c r="H30" s="314"/>
      <c r="I30" s="1"/>
    </row>
    <row r="31" spans="1:11" x14ac:dyDescent="0.2">
      <c r="A31" s="611"/>
      <c r="B31" s="1"/>
      <c r="C31" s="1"/>
      <c r="D31" s="1"/>
      <c r="E31" s="62"/>
      <c r="F31" s="77">
        <f>SUM(F26:F30)</f>
        <v>405</v>
      </c>
      <c r="G31" s="42">
        <f t="shared" si="1"/>
        <v>1.0349547140991917E-2</v>
      </c>
    </row>
    <row r="32" spans="1:11" ht="36" customHeight="1" x14ac:dyDescent="0.2">
      <c r="A32" s="653" t="s">
        <v>223</v>
      </c>
      <c r="B32" s="278" t="s">
        <v>371</v>
      </c>
      <c r="C32" s="309">
        <f>'Standard 1.-20. Standjahr'!AH72</f>
        <v>134135.62541693175</v>
      </c>
      <c r="D32" s="652">
        <f>'Standard Vorgaben'!B31</f>
        <v>15</v>
      </c>
      <c r="E32" s="298"/>
      <c r="F32" s="309">
        <f>C32/D32</f>
        <v>8942.3750277954496</v>
      </c>
      <c r="G32" s="299">
        <f t="shared" si="1"/>
        <v>0.22851736272246395</v>
      </c>
    </row>
    <row r="33" spans="1:11" s="76" customFormat="1" ht="13.5" thickBot="1" x14ac:dyDescent="0.25">
      <c r="A33" s="3" t="s">
        <v>582</v>
      </c>
      <c r="B33" s="612">
        <f>'Standard Vorgaben'!$E$177+'Standard Vorgaben'!$E$178</f>
        <v>300</v>
      </c>
      <c r="C33" s="605"/>
      <c r="D33" s="156"/>
      <c r="E33" s="606"/>
      <c r="F33" s="925">
        <f>B33+E33+'Standard Bewässerung'!$H$55</f>
        <v>1607.8</v>
      </c>
      <c r="G33" s="607">
        <f t="shared" si="1"/>
        <v>4.1086424427868647E-2</v>
      </c>
      <c r="J33" s="178"/>
      <c r="K33" s="182"/>
    </row>
    <row r="34" spans="1:11" x14ac:dyDescent="0.2">
      <c r="A34" s="614" t="s">
        <v>256</v>
      </c>
      <c r="B34" s="615"/>
      <c r="C34" s="616"/>
      <c r="D34" s="616"/>
      <c r="E34" s="617"/>
      <c r="F34" s="618">
        <f>F18+F24+F31+F32+F33</f>
        <v>16347.175027795449</v>
      </c>
      <c r="G34" s="271">
        <f t="shared" si="1"/>
        <v>0.4177428606721354</v>
      </c>
    </row>
    <row r="35" spans="1:11" ht="24" customHeight="1" x14ac:dyDescent="0.2">
      <c r="A35" s="16" t="s">
        <v>207</v>
      </c>
      <c r="C35" s="187" t="s">
        <v>60</v>
      </c>
      <c r="D35" s="619">
        <f>'Standard Vorgaben'!C175</f>
        <v>10</v>
      </c>
      <c r="E35" s="62">
        <f>'Standard Vorgaben'!D175</f>
        <v>15</v>
      </c>
      <c r="F35" s="77">
        <f>D35*E35</f>
        <v>150</v>
      </c>
      <c r="G35" s="42">
        <f t="shared" si="1"/>
        <v>3.8331656077747835E-3</v>
      </c>
      <c r="J35" s="186" t="s">
        <v>122</v>
      </c>
    </row>
    <row r="36" spans="1:11" ht="18" customHeight="1" x14ac:dyDescent="0.2">
      <c r="C36" s="49" t="s">
        <v>11</v>
      </c>
      <c r="D36" s="123" t="s">
        <v>111</v>
      </c>
      <c r="E36" s="10" t="s">
        <v>112</v>
      </c>
      <c r="F36" s="124" t="s">
        <v>22</v>
      </c>
      <c r="G36" s="42"/>
      <c r="J36" s="49" t="s">
        <v>112</v>
      </c>
      <c r="K36" s="183" t="s">
        <v>22</v>
      </c>
    </row>
    <row r="37" spans="1:11" s="1" customFormat="1" x14ac:dyDescent="0.2">
      <c r="A37" s="3" t="s">
        <v>103</v>
      </c>
      <c r="B37" s="4" t="str">
        <f>'Standard Vorgaben'!B150</f>
        <v>Anbaugebläsepritze 1000 l</v>
      </c>
      <c r="C37" s="1243">
        <v>25</v>
      </c>
      <c r="D37" s="47">
        <f>'Standard Vorgaben'!C150</f>
        <v>1</v>
      </c>
      <c r="E37" s="62">
        <f>'Standard Vorgaben'!D150</f>
        <v>37</v>
      </c>
      <c r="F37" s="43">
        <f>C37*E37</f>
        <v>925</v>
      </c>
      <c r="G37" s="271">
        <f>F37/$F$65</f>
        <v>2.3637854581277831E-2</v>
      </c>
      <c r="J37" s="522">
        <f>'Standard Vorgaben'!G150</f>
        <v>11.67</v>
      </c>
      <c r="K37" s="181">
        <f>C37*D37*J37</f>
        <v>291.75</v>
      </c>
    </row>
    <row r="38" spans="1:11" s="1" customFormat="1" x14ac:dyDescent="0.2">
      <c r="A38" s="3"/>
      <c r="B38" s="4" t="str">
        <f>'Standard Vorgaben'!B151</f>
        <v>Anbaufeldspritze, 12 m Balken, 600 l Fass</v>
      </c>
      <c r="C38" s="1032">
        <v>3</v>
      </c>
      <c r="D38" s="47">
        <f>'Standard Vorgaben'!C151</f>
        <v>1</v>
      </c>
      <c r="E38" s="62">
        <f>'Standard Vorgaben'!D151</f>
        <v>42</v>
      </c>
      <c r="F38" s="43">
        <f>C38*D38*E38</f>
        <v>126</v>
      </c>
      <c r="G38" s="271">
        <f>F38/$F$65</f>
        <v>3.2198591105308183E-3</v>
      </c>
      <c r="J38" s="522">
        <f>'Standard Vorgaben'!G151</f>
        <v>6.07</v>
      </c>
      <c r="K38" s="181">
        <f>C38*D38*J38</f>
        <v>18.21</v>
      </c>
    </row>
    <row r="39" spans="1:11" s="1" customFormat="1" x14ac:dyDescent="0.2">
      <c r="A39" s="3"/>
      <c r="B39" s="4" t="str">
        <f>'Standard Vorgaben'!B152</f>
        <v>Düngerstreuer Einkasten 2.5 m</v>
      </c>
      <c r="C39" s="501">
        <f>C18</f>
        <v>4</v>
      </c>
      <c r="D39" s="47">
        <f>'Standard Vorgaben'!C152</f>
        <v>1</v>
      </c>
      <c r="E39" s="62">
        <f>'Standard Vorgaben'!D152</f>
        <v>18</v>
      </c>
      <c r="F39" s="43">
        <f>C39*D39*E39</f>
        <v>72</v>
      </c>
      <c r="G39" s="271">
        <f>F39/$F$65</f>
        <v>1.8399194917318963E-3</v>
      </c>
      <c r="J39" s="522">
        <f>'Standard Vorgaben'!G152</f>
        <v>7.03</v>
      </c>
      <c r="K39" s="181">
        <f>C39*D39*J39</f>
        <v>28.12</v>
      </c>
    </row>
    <row r="40" spans="1:11" s="1" customFormat="1" x14ac:dyDescent="0.2">
      <c r="A40" s="3"/>
      <c r="B40" s="4" t="str">
        <f>'Standard Vorgaben'!B153</f>
        <v>Erntewagen 4 Grosskisten</v>
      </c>
      <c r="C40" s="620">
        <f>'Standard Vorgaben'!C153</f>
        <v>960</v>
      </c>
      <c r="E40" s="621">
        <f>'Standard Vorgaben'!D153</f>
        <v>9.1999999999999993</v>
      </c>
      <c r="F40" s="43">
        <f>D41*E40</f>
        <v>260.66666666666663</v>
      </c>
      <c r="G40" s="271">
        <f>F40/$F$65</f>
        <v>6.6611900117330676E-3</v>
      </c>
      <c r="J40" s="522">
        <f>'Standard Vorgaben'!G153</f>
        <v>1.53</v>
      </c>
      <c r="K40" s="181">
        <f>D41*J40</f>
        <v>43.349999999999994</v>
      </c>
    </row>
    <row r="41" spans="1:11" s="1" customFormat="1" x14ac:dyDescent="0.2">
      <c r="A41" s="3"/>
      <c r="B41" s="324" t="s">
        <v>250</v>
      </c>
      <c r="C41" s="622">
        <f>'Standard Vorgaben'!E153</f>
        <v>4</v>
      </c>
      <c r="D41" s="623">
        <f>((D8+D9)+('Standard Vorgaben'!D96*D11))/C40</f>
        <v>28.333333333333329</v>
      </c>
      <c r="E41" s="624">
        <f>C40/C58/C41</f>
        <v>1.92</v>
      </c>
      <c r="F41" s="43"/>
      <c r="G41" s="271"/>
      <c r="J41" s="46"/>
      <c r="K41" s="181"/>
    </row>
    <row r="42" spans="1:11" s="1" customFormat="1" x14ac:dyDescent="0.2">
      <c r="A42" s="3"/>
      <c r="B42" s="4" t="str">
        <f>'Standard Vorgaben'!B154</f>
        <v>Mulchgerät mit beids. Schwenkarm</v>
      </c>
      <c r="C42" s="46">
        <f>'Standard Vorgaben'!E154</f>
        <v>7</v>
      </c>
      <c r="D42" s="51">
        <f>'Standard Vorgaben'!C154</f>
        <v>1</v>
      </c>
      <c r="E42" s="62">
        <f>'Standard Vorgaben'!D154</f>
        <v>42</v>
      </c>
      <c r="F42" s="43">
        <f>C42*E42</f>
        <v>294</v>
      </c>
      <c r="G42" s="271">
        <f t="shared" ref="G42:G48" si="2">F42/$F$65</f>
        <v>7.5130045912385757E-3</v>
      </c>
      <c r="J42" s="522">
        <f>'Standard Vorgaben'!G154</f>
        <v>14.5</v>
      </c>
      <c r="K42" s="181">
        <f>C42*D42*J42</f>
        <v>101.5</v>
      </c>
    </row>
    <row r="43" spans="1:11" s="1" customFormat="1" x14ac:dyDescent="0.2">
      <c r="A43" s="3"/>
      <c r="B43" s="4" t="str">
        <f>'Standard Vorgaben'!B155</f>
        <v>Schnittholzhacker</v>
      </c>
      <c r="C43" s="58">
        <f>'Standard Vorgaben'!E155</f>
        <v>1</v>
      </c>
      <c r="D43" s="563">
        <f>'Standard Vorgaben'!C155</f>
        <v>2</v>
      </c>
      <c r="E43" s="62">
        <f>'Standard Vorgaben'!D155</f>
        <v>68.3</v>
      </c>
      <c r="F43" s="118">
        <f>E43*D43*C43</f>
        <v>136.6</v>
      </c>
      <c r="G43" s="271">
        <f t="shared" si="2"/>
        <v>3.4907361468135695E-3</v>
      </c>
      <c r="J43" s="522">
        <f>'Standard Vorgaben'!G155</f>
        <v>29.05</v>
      </c>
      <c r="K43" s="181">
        <f>C43*D43*J43</f>
        <v>58.1</v>
      </c>
    </row>
    <row r="44" spans="1:11" s="1" customFormat="1" x14ac:dyDescent="0.2">
      <c r="A44" s="3"/>
      <c r="B44" s="4" t="s">
        <v>113</v>
      </c>
      <c r="C44" s="46"/>
      <c r="D44" s="625">
        <f>(C37*D37)+(C38*D38)+(C39*D39)+(D41*E41*'Standard Vorgaben'!H146)+(C42*D42)+(C43*D43)</f>
        <v>54.599999999999994</v>
      </c>
      <c r="E44" s="62"/>
      <c r="F44" s="120">
        <f>SUM(F37:F43)</f>
        <v>1814.2666666666664</v>
      </c>
      <c r="G44" s="271">
        <f t="shared" si="2"/>
        <v>4.6362563933325752E-2</v>
      </c>
      <c r="J44" s="522"/>
      <c r="K44" s="181"/>
    </row>
    <row r="45" spans="1:11" s="1" customFormat="1" x14ac:dyDescent="0.2">
      <c r="A45" s="626"/>
      <c r="B45" s="106" t="str">
        <f>'Standard Vorgaben'!B146</f>
        <v>Obstbautraktor 4-Rad</v>
      </c>
      <c r="C45" s="46"/>
      <c r="D45" s="627">
        <f>D44</f>
        <v>54.599999999999994</v>
      </c>
      <c r="E45" s="62">
        <f>'Standard Vorgaben'!D146</f>
        <v>41</v>
      </c>
      <c r="F45" s="120">
        <f>D45*E45</f>
        <v>2238.6</v>
      </c>
      <c r="G45" s="271">
        <f t="shared" si="2"/>
        <v>5.720616353043087E-2</v>
      </c>
      <c r="H45" s="656"/>
      <c r="I45" s="1" t="s">
        <v>114</v>
      </c>
      <c r="J45" s="657">
        <f>'Standard Vorgaben'!G161</f>
        <v>0</v>
      </c>
      <c r="K45" s="658">
        <f>D45*J45</f>
        <v>0</v>
      </c>
    </row>
    <row r="46" spans="1:11" s="1" customFormat="1" x14ac:dyDescent="0.2">
      <c r="A46" s="626"/>
      <c r="B46" s="4" t="str">
        <f>'Standard Vorgaben'!$B$156</f>
        <v>Hebebühne schwer, selbstfahrend, elektrisch</v>
      </c>
      <c r="C46" s="46"/>
      <c r="D46" s="51">
        <f>'Standard Vorgaben'!$C$156*$D$41+D55/2+D56/2</f>
        <v>18.166666666666664</v>
      </c>
      <c r="E46" s="62">
        <f>'Standard Vorgaben'!$D$156</f>
        <v>17.5</v>
      </c>
      <c r="F46" s="120">
        <f>D46*E46</f>
        <v>317.91666666666663</v>
      </c>
      <c r="G46" s="271">
        <f t="shared" si="2"/>
        <v>8.1241815520337775E-3</v>
      </c>
      <c r="H46" s="656"/>
      <c r="J46" s="657"/>
      <c r="K46" s="192"/>
    </row>
    <row r="47" spans="1:11" s="1" customFormat="1" ht="13.5" thickBot="1" x14ac:dyDescent="0.25">
      <c r="A47" s="223"/>
      <c r="B47" s="4" t="str">
        <f>'Standard Vorgaben'!B157</f>
        <v>Diverse Kleingeräte</v>
      </c>
      <c r="C47" s="46"/>
      <c r="D47" s="46"/>
      <c r="E47" s="62"/>
      <c r="F47" s="228">
        <f>'Standard Vorgaben'!D157</f>
        <v>500</v>
      </c>
      <c r="G47" s="271">
        <f t="shared" si="2"/>
        <v>1.2777218692582613E-2</v>
      </c>
      <c r="J47" s="46"/>
      <c r="K47" s="659">
        <f>SUM(K37:K45)</f>
        <v>541.03</v>
      </c>
    </row>
    <row r="48" spans="1:11" s="1" customFormat="1" ht="13.5" thickTop="1" x14ac:dyDescent="0.2">
      <c r="A48" s="628"/>
      <c r="B48" s="4"/>
      <c r="C48" s="46"/>
      <c r="D48" s="46"/>
      <c r="E48" s="62"/>
      <c r="F48" s="77">
        <f>F47+F45+F44+F46</f>
        <v>4870.7833333333338</v>
      </c>
      <c r="G48" s="271">
        <f t="shared" si="2"/>
        <v>0.12447012770837304</v>
      </c>
      <c r="J48" s="46"/>
      <c r="K48" s="181"/>
    </row>
    <row r="49" spans="1:11" x14ac:dyDescent="0.2">
      <c r="B49" s="19"/>
      <c r="C49" s="58"/>
      <c r="D49" s="123" t="s">
        <v>27</v>
      </c>
      <c r="E49" s="128" t="s">
        <v>21</v>
      </c>
      <c r="F49" s="124" t="s">
        <v>22</v>
      </c>
      <c r="G49" s="42"/>
    </row>
    <row r="50" spans="1:11" s="1" customFormat="1" x14ac:dyDescent="0.2">
      <c r="A50" s="3" t="s">
        <v>64</v>
      </c>
      <c r="B50" s="4" t="s">
        <v>29</v>
      </c>
      <c r="C50" s="58"/>
      <c r="D50" s="503">
        <f>C39*D39</f>
        <v>4</v>
      </c>
      <c r="E50" s="62">
        <f>'Standard Vorgaben'!$C$38</f>
        <v>32.700000000000003</v>
      </c>
      <c r="F50" s="43">
        <f t="shared" ref="F50:F59" si="3">D50*E50</f>
        <v>130.80000000000001</v>
      </c>
      <c r="G50" s="271">
        <f t="shared" ref="G50:G65" si="4">F50/$F$65</f>
        <v>3.3425204099796118E-3</v>
      </c>
      <c r="J50" s="46"/>
      <c r="K50" s="181"/>
    </row>
    <row r="51" spans="1:11" s="1" customFormat="1" x14ac:dyDescent="0.2">
      <c r="A51" s="3"/>
      <c r="B51" s="4" t="s">
        <v>164</v>
      </c>
      <c r="D51" s="143">
        <f>((C37*D37)+(C38*D38))+'Standard Vorgaben'!B102+'Standard Vorgaben'!C102</f>
        <v>48</v>
      </c>
      <c r="E51" s="62">
        <f>'Standard Vorgaben'!$C$38</f>
        <v>32.700000000000003</v>
      </c>
      <c r="F51" s="43">
        <f t="shared" si="3"/>
        <v>1569.6000000000001</v>
      </c>
      <c r="G51" s="271">
        <f t="shared" si="4"/>
        <v>4.0110244919755338E-2</v>
      </c>
      <c r="J51" s="46"/>
      <c r="K51" s="181"/>
    </row>
    <row r="52" spans="1:11" s="1" customFormat="1" x14ac:dyDescent="0.2">
      <c r="A52" s="3"/>
      <c r="B52" s="4" t="str">
        <f>'Standard Vorgaben'!D100</f>
        <v>Baumerziehung (Sommer+Winter)</v>
      </c>
      <c r="C52" s="46"/>
      <c r="D52" s="181">
        <f>'Standard Vorgaben'!D102</f>
        <v>160</v>
      </c>
      <c r="E52" s="62">
        <f>'Standard Vorgaben'!$C$38</f>
        <v>32.700000000000003</v>
      </c>
      <c r="F52" s="43">
        <f t="shared" si="3"/>
        <v>5232</v>
      </c>
      <c r="G52" s="271">
        <f t="shared" si="4"/>
        <v>0.13370081639918446</v>
      </c>
      <c r="J52" s="46"/>
      <c r="K52" s="181"/>
    </row>
    <row r="53" spans="1:11" s="1" customFormat="1" x14ac:dyDescent="0.2">
      <c r="A53" s="3"/>
      <c r="B53" s="4" t="s">
        <v>100</v>
      </c>
      <c r="C53" s="46"/>
      <c r="D53" s="501">
        <f>(C42*D42)+(C43*D43)</f>
        <v>9</v>
      </c>
      <c r="E53" s="62">
        <f>'Standard Vorgaben'!$C$38</f>
        <v>32.700000000000003</v>
      </c>
      <c r="F53" s="43">
        <f t="shared" si="3"/>
        <v>294.3</v>
      </c>
      <c r="G53" s="271">
        <f t="shared" si="4"/>
        <v>7.5206709224541262E-3</v>
      </c>
      <c r="J53" s="46"/>
      <c r="K53" s="181"/>
    </row>
    <row r="54" spans="1:11" s="1" customFormat="1" x14ac:dyDescent="0.2">
      <c r="A54" s="3"/>
      <c r="B54" s="630" t="str">
        <f>'Standard Vorgaben'!E100</f>
        <v>Behangsregulierung (von Hand)</v>
      </c>
      <c r="C54" s="1" t="s">
        <v>235</v>
      </c>
      <c r="D54" s="143">
        <f>'Standard Vorgaben'!E102</f>
        <v>40</v>
      </c>
      <c r="E54" s="62">
        <f>'Standard Vorgaben'!$C$37</f>
        <v>23.18</v>
      </c>
      <c r="F54" s="43">
        <f t="shared" si="3"/>
        <v>927.2</v>
      </c>
      <c r="G54" s="271">
        <f t="shared" si="4"/>
        <v>2.3694074343525197E-2</v>
      </c>
      <c r="J54" s="46"/>
      <c r="K54" s="181"/>
    </row>
    <row r="55" spans="1:11" s="1" customFormat="1" x14ac:dyDescent="0.2">
      <c r="A55" s="3"/>
      <c r="B55" s="1022" t="s">
        <v>468</v>
      </c>
      <c r="C55" s="23"/>
      <c r="D55" s="1023">
        <v>15</v>
      </c>
      <c r="E55" s="62">
        <f>'Standard Vorgaben'!$C$37</f>
        <v>23.18</v>
      </c>
      <c r="F55" s="43">
        <f t="shared" si="3"/>
        <v>347.7</v>
      </c>
      <c r="G55" s="271">
        <f t="shared" si="4"/>
        <v>8.885277878821948E-3</v>
      </c>
      <c r="J55" s="46"/>
      <c r="K55" s="181"/>
    </row>
    <row r="56" spans="1:11" s="1" customFormat="1" x14ac:dyDescent="0.2">
      <c r="A56" s="3"/>
      <c r="B56" s="1022" t="s">
        <v>469</v>
      </c>
      <c r="C56" s="23"/>
      <c r="D56" s="1023">
        <v>10</v>
      </c>
      <c r="E56" s="62">
        <f>'Standard Vorgaben'!$C$37</f>
        <v>23.18</v>
      </c>
      <c r="F56" s="43">
        <f t="shared" si="3"/>
        <v>231.8</v>
      </c>
      <c r="G56" s="271">
        <f t="shared" si="4"/>
        <v>5.9235185858812992E-3</v>
      </c>
      <c r="J56" s="46"/>
      <c r="K56" s="181"/>
    </row>
    <row r="57" spans="1:11" s="1" customFormat="1" x14ac:dyDescent="0.2">
      <c r="A57" s="3"/>
      <c r="B57" s="1022" t="s">
        <v>599</v>
      </c>
      <c r="C57" s="23"/>
      <c r="D57" s="503">
        <f>'Standard Erstellung'!$D$158</f>
        <v>20</v>
      </c>
      <c r="E57" s="62">
        <f>'Standard Vorgaben'!$C$37</f>
        <v>23.18</v>
      </c>
      <c r="F57" s="60">
        <f t="shared" si="3"/>
        <v>463.6</v>
      </c>
      <c r="G57" s="271">
        <f t="shared" si="4"/>
        <v>1.1847037171762598E-2</v>
      </c>
      <c r="J57" s="46"/>
      <c r="K57" s="181"/>
    </row>
    <row r="58" spans="1:11" s="1" customFormat="1" x14ac:dyDescent="0.2">
      <c r="A58" s="3"/>
      <c r="B58" s="3" t="str">
        <f>'Standard Vorgaben'!G74</f>
        <v>Ernte baumfallend</v>
      </c>
      <c r="C58" s="631">
        <f>'Standard Vorgaben'!G96</f>
        <v>125</v>
      </c>
      <c r="D58" s="143">
        <f>(D8+D9+('Standard Vorgaben'!D96*D11))/C58</f>
        <v>217.59999999999997</v>
      </c>
      <c r="E58" s="62">
        <f>'Standard Vorgaben'!$C$37</f>
        <v>23.18</v>
      </c>
      <c r="F58" s="43">
        <f t="shared" si="3"/>
        <v>5043.9679999999989</v>
      </c>
      <c r="G58" s="271">
        <f>F58/$F$65</f>
        <v>0.12889576442877704</v>
      </c>
      <c r="J58" s="46"/>
      <c r="K58" s="181"/>
    </row>
    <row r="59" spans="1:11" s="1" customFormat="1" x14ac:dyDescent="0.2">
      <c r="A59" s="3"/>
      <c r="B59" s="4" t="s">
        <v>99</v>
      </c>
      <c r="C59" s="46"/>
      <c r="D59" s="117">
        <f>'Standard Vorgaben'!F102+'Standard Vorgaben'!G102</f>
        <v>40</v>
      </c>
      <c r="E59" s="62">
        <f>'Standard Vorgaben'!$C$34</f>
        <v>41.4</v>
      </c>
      <c r="F59" s="118">
        <f t="shared" si="3"/>
        <v>1656</v>
      </c>
      <c r="G59" s="271">
        <f t="shared" si="4"/>
        <v>4.231814830983361E-2</v>
      </c>
      <c r="J59" s="46"/>
      <c r="K59" s="181"/>
    </row>
    <row r="60" spans="1:11" s="1" customFormat="1" x14ac:dyDescent="0.2">
      <c r="A60" s="156" t="s">
        <v>88</v>
      </c>
      <c r="B60" s="632">
        <f>('Standard Vorgaben'!F36*D54)+('Standard Vorgaben'!F36*D58)</f>
        <v>218.95999999999998</v>
      </c>
      <c r="C60" s="156" t="s">
        <v>86</v>
      </c>
      <c r="D60" s="660">
        <f>SUM(D50:D59)</f>
        <v>563.59999999999991</v>
      </c>
      <c r="E60" s="62"/>
      <c r="F60" s="77">
        <f>SUM(F50:F59)</f>
        <v>15896.967999999999</v>
      </c>
      <c r="G60" s="271">
        <f t="shared" si="4"/>
        <v>0.40623807336997525</v>
      </c>
      <c r="J60" s="46"/>
      <c r="K60" s="181"/>
    </row>
    <row r="61" spans="1:11" s="1" customFormat="1" x14ac:dyDescent="0.2">
      <c r="A61" s="3" t="s">
        <v>67</v>
      </c>
      <c r="B61" s="4" t="s">
        <v>65</v>
      </c>
      <c r="C61" s="46"/>
      <c r="D61" s="46"/>
      <c r="E61" s="62"/>
      <c r="F61" s="43">
        <f>'Standard Vorgaben'!C44</f>
        <v>660</v>
      </c>
      <c r="G61" s="271">
        <f t="shared" si="4"/>
        <v>1.6865928674209048E-2</v>
      </c>
      <c r="J61" s="46"/>
      <c r="K61" s="181"/>
    </row>
    <row r="62" spans="1:11" s="1" customFormat="1" x14ac:dyDescent="0.2">
      <c r="B62" s="1" t="s">
        <v>222</v>
      </c>
      <c r="C62" s="226">
        <f>'Standard Vorgaben'!C43</f>
        <v>0.6</v>
      </c>
      <c r="D62" s="227">
        <f>'Standard Vorgaben'!C42</f>
        <v>1.4999999999999999E-2</v>
      </c>
      <c r="E62" s="229">
        <f>C32</f>
        <v>134135.62541693175</v>
      </c>
      <c r="F62" s="118">
        <f>$D$62*E62*$C$62</f>
        <v>1207.2206287523857</v>
      </c>
      <c r="G62" s="271">
        <f t="shared" si="4"/>
        <v>3.0849843967532632E-2</v>
      </c>
      <c r="J62" s="46"/>
      <c r="K62" s="181"/>
    </row>
    <row r="63" spans="1:11" x14ac:dyDescent="0.2">
      <c r="F63" s="236">
        <f>SUM(F61:F62)</f>
        <v>1867.2206287523857</v>
      </c>
      <c r="G63" s="42">
        <f t="shared" si="4"/>
        <v>4.7715772641741684E-2</v>
      </c>
    </row>
    <row r="64" spans="1:11" ht="13.5" thickBot="1" x14ac:dyDescent="0.25">
      <c r="A64" s="614" t="s">
        <v>35</v>
      </c>
      <c r="B64" s="615"/>
      <c r="C64" s="442"/>
      <c r="D64" s="634"/>
      <c r="E64" s="559"/>
      <c r="F64" s="618">
        <f>F63+F60+F48+F35</f>
        <v>22784.971962085718</v>
      </c>
      <c r="G64" s="271">
        <f t="shared" si="4"/>
        <v>0.58225713932786471</v>
      </c>
    </row>
    <row r="65" spans="1:11" s="74" customFormat="1" ht="24.75" customHeight="1" thickBot="1" x14ac:dyDescent="0.35">
      <c r="A65" s="581" t="s">
        <v>261</v>
      </c>
      <c r="B65" s="570"/>
      <c r="C65" s="635"/>
      <c r="D65" s="571"/>
      <c r="E65" s="572"/>
      <c r="F65" s="1046">
        <f>F64+F34</f>
        <v>39132.146989881163</v>
      </c>
      <c r="G65" s="271">
        <f t="shared" si="4"/>
        <v>1</v>
      </c>
      <c r="H65" s="95"/>
      <c r="I65" s="95"/>
      <c r="J65" s="179"/>
      <c r="K65" s="184"/>
    </row>
    <row r="66" spans="1:11" s="74" customFormat="1" ht="15" customHeight="1" x14ac:dyDescent="0.3">
      <c r="A66" s="2" t="s">
        <v>389</v>
      </c>
      <c r="B66" s="661"/>
      <c r="C66" s="662"/>
      <c r="D66" s="663"/>
      <c r="E66" s="664"/>
      <c r="F66" s="665">
        <f>F13-F65</f>
        <v>-10064.146989881167</v>
      </c>
      <c r="G66" s="73"/>
      <c r="H66" s="95"/>
      <c r="I66" s="95"/>
      <c r="J66" s="179"/>
      <c r="K66" s="184"/>
    </row>
    <row r="67" spans="1:11" s="74" customFormat="1" ht="18.75" customHeight="1" x14ac:dyDescent="0.3">
      <c r="A67" s="666" t="s">
        <v>390</v>
      </c>
      <c r="B67" s="661"/>
      <c r="C67" s="662"/>
      <c r="D67" s="663"/>
      <c r="E67" s="664"/>
      <c r="F67" s="667">
        <f>F13/F65</f>
        <v>0.74281638591198262</v>
      </c>
      <c r="G67" s="73"/>
      <c r="H67" s="95"/>
      <c r="I67" s="95"/>
      <c r="J67" s="179"/>
      <c r="K67" s="184"/>
    </row>
    <row r="68" spans="1:11" s="74" customFormat="1" ht="18.75" customHeight="1" x14ac:dyDescent="0.3">
      <c r="A68" s="666" t="s">
        <v>391</v>
      </c>
      <c r="B68" s="661"/>
      <c r="C68" s="662"/>
      <c r="D68" s="663"/>
      <c r="E68" s="664"/>
      <c r="F68" s="668">
        <f>F66+F32</f>
        <v>-1121.771962085717</v>
      </c>
      <c r="G68" s="73"/>
      <c r="H68" s="95"/>
      <c r="I68" s="95"/>
      <c r="J68" s="179"/>
      <c r="K68" s="184"/>
    </row>
    <row r="69" spans="1:11" s="1" customFormat="1" ht="16.5" customHeight="1" x14ac:dyDescent="0.2">
      <c r="A69" s="125" t="s">
        <v>68</v>
      </c>
      <c r="B69" s="99"/>
      <c r="C69" s="501"/>
      <c r="D69" s="503"/>
      <c r="E69" s="213"/>
      <c r="F69" s="121">
        <f>F65-F60</f>
        <v>23235.178989881162</v>
      </c>
      <c r="G69" s="42"/>
      <c r="H69" s="96"/>
      <c r="J69" s="46"/>
      <c r="K69" s="181"/>
    </row>
    <row r="70" spans="1:11" ht="13.5" thickBot="1" x14ac:dyDescent="0.25">
      <c r="A70" s="106" t="s">
        <v>258</v>
      </c>
      <c r="B70" s="106"/>
      <c r="C70" s="106"/>
      <c r="D70" s="106"/>
      <c r="E70" s="106"/>
      <c r="F70" s="200">
        <f>F13-F69</f>
        <v>5832.8210101188342</v>
      </c>
      <c r="G70" s="126"/>
      <c r="H70" s="94"/>
    </row>
    <row r="71" spans="1:11" ht="21" thickBot="1" x14ac:dyDescent="0.35">
      <c r="A71" s="669" t="s">
        <v>263</v>
      </c>
      <c r="B71" s="569"/>
      <c r="C71" s="569"/>
      <c r="D71" s="569"/>
      <c r="E71" s="569"/>
      <c r="F71" s="670">
        <f>F70/D60</f>
        <v>10.349221096733206</v>
      </c>
      <c r="G71" s="126"/>
    </row>
    <row r="72" spans="1:11" s="20" customFormat="1" ht="15.75" x14ac:dyDescent="0.25">
      <c r="A72" s="569" t="s">
        <v>87</v>
      </c>
      <c r="B72" s="569"/>
      <c r="C72" s="569"/>
      <c r="D72" s="569"/>
      <c r="E72" s="569"/>
      <c r="F72" s="671">
        <f>(F70-(B60*'Standard Vorgaben'!C36))/(D60-B60)</f>
        <v>3.2648009810783281</v>
      </c>
      <c r="G72" s="930"/>
      <c r="J72" s="180"/>
      <c r="K72" s="185"/>
    </row>
    <row r="73" spans="1:11" s="327" customFormat="1" ht="25.5" customHeight="1" x14ac:dyDescent="0.2">
      <c r="A73" s="673" t="s">
        <v>253</v>
      </c>
      <c r="B73" s="674" t="s">
        <v>254</v>
      </c>
      <c r="C73" s="675">
        <f>F11-F34</f>
        <v>11620.824972204548</v>
      </c>
      <c r="D73" s="676" t="s">
        <v>81</v>
      </c>
      <c r="E73" s="677"/>
      <c r="F73" s="678">
        <f>F13-F34</f>
        <v>12720.824972204548</v>
      </c>
      <c r="G73" s="672" t="s">
        <v>173</v>
      </c>
      <c r="J73" s="328"/>
      <c r="K73" s="329"/>
    </row>
    <row r="74" spans="1:11" ht="15.75" customHeight="1" x14ac:dyDescent="0.2">
      <c r="A74" s="679" t="s">
        <v>125</v>
      </c>
      <c r="B74" s="1298" t="s">
        <v>126</v>
      </c>
      <c r="C74" s="1298"/>
      <c r="D74" s="1298"/>
      <c r="E74" s="1298"/>
      <c r="F74" s="680">
        <f>K47+F60+F31+F18+F24</f>
        <v>22234.998</v>
      </c>
      <c r="G74" s="681">
        <f>F13</f>
        <v>29067.999999999996</v>
      </c>
      <c r="I74" t="s">
        <v>165</v>
      </c>
    </row>
    <row r="75" spans="1:11" x14ac:dyDescent="0.2">
      <c r="A75" s="106" t="s">
        <v>145</v>
      </c>
      <c r="B75" s="99" t="s">
        <v>146</v>
      </c>
      <c r="C75" s="1"/>
      <c r="D75" s="1"/>
      <c r="E75" s="1"/>
      <c r="F75" s="682">
        <f>F13/D60</f>
        <v>51.575585521646559</v>
      </c>
      <c r="G75" s="126"/>
    </row>
    <row r="76" spans="1:11" x14ac:dyDescent="0.2">
      <c r="A76" s="106"/>
      <c r="B76" s="1" t="s">
        <v>202</v>
      </c>
      <c r="C76" s="1"/>
      <c r="D76" s="1"/>
      <c r="E76" s="1"/>
      <c r="F76" s="683">
        <f>D8/D60</f>
        <v>39.744499645138397</v>
      </c>
      <c r="G76" s="126"/>
    </row>
    <row r="77" spans="1:11" s="1" customFormat="1" x14ac:dyDescent="0.2">
      <c r="A77" s="106" t="s">
        <v>147</v>
      </c>
      <c r="B77" s="1" t="s">
        <v>252</v>
      </c>
      <c r="F77" s="684">
        <f>(F66+F62)/E62</f>
        <v>-6.6029634808790941E-2</v>
      </c>
      <c r="G77" s="126"/>
      <c r="I77" s="1" t="s">
        <v>166</v>
      </c>
      <c r="J77" s="46"/>
      <c r="K77" s="8">
        <f>F65-F63</f>
        <v>37264.926361128775</v>
      </c>
    </row>
    <row r="78" spans="1:11" ht="18" x14ac:dyDescent="0.25">
      <c r="A78" s="1233" t="s">
        <v>262</v>
      </c>
      <c r="B78" s="443" t="s">
        <v>82</v>
      </c>
      <c r="C78" s="615"/>
      <c r="D78" s="615"/>
      <c r="E78" s="615"/>
      <c r="F78" s="1234">
        <f>F65/D11</f>
        <v>1.2228795934337864</v>
      </c>
      <c r="G78" s="126"/>
      <c r="I78" t="s">
        <v>167</v>
      </c>
      <c r="K78" s="18">
        <f>F13-K77</f>
        <v>-8196.9263611287788</v>
      </c>
    </row>
    <row r="79" spans="1:11" ht="15.75" x14ac:dyDescent="0.25">
      <c r="D79" s="39" t="s">
        <v>344</v>
      </c>
      <c r="E79" s="39" t="s">
        <v>69</v>
      </c>
      <c r="F79" s="127"/>
      <c r="G79" s="126"/>
      <c r="H79" s="48"/>
    </row>
    <row r="80" spans="1:11" ht="15.75" x14ac:dyDescent="0.25">
      <c r="A80" s="92" t="s">
        <v>123</v>
      </c>
      <c r="B80" s="685" t="s">
        <v>343</v>
      </c>
      <c r="C80" s="686" t="str">
        <f>B8</f>
        <v>Klasse I</v>
      </c>
      <c r="D80" s="90">
        <f>F8/F11</f>
        <v>0.97711670480549195</v>
      </c>
      <c r="E80" s="79">
        <f>D80*F65</f>
        <v>38236.674518716834</v>
      </c>
      <c r="F80" s="689">
        <f>E80/D8</f>
        <v>1.7069943981570017</v>
      </c>
      <c r="G80" s="126"/>
    </row>
    <row r="81" spans="1:11" s="1" customFormat="1" ht="15.75" x14ac:dyDescent="0.25">
      <c r="A81" s="208"/>
      <c r="B81" s="687"/>
      <c r="C81" s="688" t="str">
        <f>B9</f>
        <v>Klasse II</v>
      </c>
      <c r="D81" s="209">
        <f>F9/F11</f>
        <v>2.2883295194508019E-2</v>
      </c>
      <c r="E81" s="210">
        <f>D81*F65</f>
        <v>895.47247116432902</v>
      </c>
      <c r="F81" s="690"/>
      <c r="G81" s="135"/>
      <c r="J81" s="46"/>
      <c r="K81" s="181"/>
    </row>
    <row r="82" spans="1:11" s="17" customFormat="1" x14ac:dyDescent="0.2">
      <c r="G82" s="23"/>
      <c r="J82" s="13"/>
      <c r="K82" s="153"/>
    </row>
    <row r="83" spans="1:11" x14ac:dyDescent="0.2">
      <c r="F83" s="48"/>
      <c r="G83" s="1"/>
    </row>
    <row r="84" spans="1:11" ht="18" x14ac:dyDescent="0.25">
      <c r="A84" s="581" t="s">
        <v>219</v>
      </c>
      <c r="B84" s="486"/>
      <c r="C84" s="486"/>
      <c r="D84" s="486"/>
      <c r="E84" s="486"/>
      <c r="F84" s="693"/>
      <c r="G84" s="104"/>
    </row>
    <row r="85" spans="1:11" x14ac:dyDescent="0.2">
      <c r="F85" s="48"/>
      <c r="G85" s="1"/>
    </row>
    <row r="86" spans="1:11" s="301" customFormat="1" ht="21.75" customHeight="1" x14ac:dyDescent="0.2">
      <c r="A86" s="300" t="s">
        <v>213</v>
      </c>
      <c r="B86" s="303" t="s">
        <v>70</v>
      </c>
      <c r="C86" s="302" t="s">
        <v>217</v>
      </c>
      <c r="J86" s="303"/>
      <c r="K86" s="304"/>
    </row>
    <row r="87" spans="1:11" x14ac:dyDescent="0.2">
      <c r="A87" s="1" t="s">
        <v>215</v>
      </c>
      <c r="B87" s="43">
        <f>F60</f>
        <v>15896.967999999999</v>
      </c>
      <c r="C87" s="307">
        <f>B87/$B$90</f>
        <v>0.40623807336997525</v>
      </c>
    </row>
    <row r="88" spans="1:11" x14ac:dyDescent="0.2">
      <c r="A88" s="1" t="s">
        <v>326</v>
      </c>
      <c r="B88" s="43">
        <f>F63</f>
        <v>1867.2206287523857</v>
      </c>
      <c r="C88" s="307">
        <f>B88/$B$90</f>
        <v>4.7715772641741684E-2</v>
      </c>
    </row>
    <row r="89" spans="1:11" x14ac:dyDescent="0.2">
      <c r="A89" s="208" t="s">
        <v>214</v>
      </c>
      <c r="B89" s="118">
        <f>F65-B87-B88</f>
        <v>21367.958361128778</v>
      </c>
      <c r="C89" s="694">
        <f>B89/$B$90</f>
        <v>0.54604615398828305</v>
      </c>
    </row>
    <row r="90" spans="1:11" x14ac:dyDescent="0.2">
      <c r="A90" s="1" t="str">
        <f>A65</f>
        <v>Produktionskosten pro ha</v>
      </c>
      <c r="B90" s="43">
        <f>F65</f>
        <v>39132.146989881163</v>
      </c>
      <c r="C90" s="307">
        <f>B90/$B$90</f>
        <v>1</v>
      </c>
      <c r="D90" s="12"/>
    </row>
    <row r="91" spans="1:11" x14ac:dyDescent="0.2">
      <c r="A91" s="1"/>
      <c r="B91" s="1"/>
      <c r="C91" s="1"/>
      <c r="F91" s="48"/>
    </row>
    <row r="92" spans="1:11" s="301" customFormat="1" ht="30.75" customHeight="1" x14ac:dyDescent="0.2">
      <c r="A92" s="308" t="s">
        <v>320</v>
      </c>
      <c r="B92" s="303" t="s">
        <v>70</v>
      </c>
      <c r="C92" s="305" t="s">
        <v>356</v>
      </c>
      <c r="D92" s="306"/>
      <c r="J92" s="303"/>
      <c r="K92" s="304"/>
    </row>
    <row r="93" spans="1:11" x14ac:dyDescent="0.2">
      <c r="A93" s="99" t="str">
        <f>B61</f>
        <v>für Boden</v>
      </c>
      <c r="B93" s="43">
        <f>F61</f>
        <v>660</v>
      </c>
      <c r="C93" s="695">
        <f>B93/$B$95</f>
        <v>0.35346653193360977</v>
      </c>
    </row>
    <row r="94" spans="1:11" x14ac:dyDescent="0.2">
      <c r="A94" s="687" t="str">
        <f>B62</f>
        <v xml:space="preserve">für Investition Obstanlage </v>
      </c>
      <c r="B94" s="118">
        <f>F62</f>
        <v>1207.2206287523857</v>
      </c>
      <c r="C94" s="696">
        <f>B94/$B$95</f>
        <v>0.64653346806639023</v>
      </c>
    </row>
    <row r="95" spans="1:11" x14ac:dyDescent="0.2">
      <c r="A95" s="697" t="s">
        <v>216</v>
      </c>
      <c r="B95" s="43">
        <f>SUM(B93:B94)</f>
        <v>1867.2206287523857</v>
      </c>
      <c r="C95" s="695">
        <f>B95/$B$95</f>
        <v>1</v>
      </c>
    </row>
    <row r="96" spans="1:11" ht="13.5" customHeight="1" x14ac:dyDescent="0.2">
      <c r="A96" s="1"/>
      <c r="B96" s="1"/>
      <c r="C96" s="1"/>
      <c r="F96" s="48"/>
    </row>
    <row r="97" spans="1:11" s="301" customFormat="1" ht="30.75" customHeight="1" x14ac:dyDescent="0.2">
      <c r="A97" s="308" t="s">
        <v>225</v>
      </c>
      <c r="B97" s="303" t="s">
        <v>70</v>
      </c>
      <c r="C97" s="305" t="s">
        <v>356</v>
      </c>
      <c r="D97" s="306"/>
      <c r="J97" s="303"/>
      <c r="K97" s="304"/>
    </row>
    <row r="98" spans="1:11" x14ac:dyDescent="0.2">
      <c r="A98" s="99" t="str">
        <f>B50</f>
        <v>Düngung</v>
      </c>
      <c r="B98" s="43">
        <f>F50</f>
        <v>130.80000000000001</v>
      </c>
      <c r="C98" s="695">
        <f t="shared" ref="C98:C105" si="5">B98/$B$105</f>
        <v>8.8057871525450485E-3</v>
      </c>
    </row>
    <row r="99" spans="1:11" x14ac:dyDescent="0.2">
      <c r="A99" s="99" t="str">
        <f>B51</f>
        <v>Pflanzenschutz inkl. Kontrolle und Mausen</v>
      </c>
      <c r="B99" s="43">
        <f>F51</f>
        <v>1569.6000000000001</v>
      </c>
      <c r="C99" s="695">
        <f t="shared" si="5"/>
        <v>0.1056694458305406</v>
      </c>
    </row>
    <row r="100" spans="1:11" x14ac:dyDescent="0.2">
      <c r="A100" s="99" t="str">
        <f>B52</f>
        <v>Baumerziehung (Sommer+Winter)</v>
      </c>
      <c r="B100" s="43">
        <f>F52</f>
        <v>5232</v>
      </c>
      <c r="C100" s="695">
        <f t="shared" si="5"/>
        <v>0.35223148610180194</v>
      </c>
    </row>
    <row r="101" spans="1:11" x14ac:dyDescent="0.2">
      <c r="A101" s="99" t="str">
        <f>B53</f>
        <v>Mulchen und Schnittholz hacken</v>
      </c>
      <c r="B101" s="43">
        <f>F53</f>
        <v>294.3</v>
      </c>
      <c r="C101" s="695">
        <f t="shared" si="5"/>
        <v>1.9813021093226361E-2</v>
      </c>
    </row>
    <row r="102" spans="1:11" x14ac:dyDescent="0.2">
      <c r="A102" s="99" t="str">
        <f>B54</f>
        <v>Behangsregulierung (von Hand)</v>
      </c>
      <c r="B102" s="43">
        <f>F54</f>
        <v>927.2</v>
      </c>
      <c r="C102" s="695">
        <f t="shared" si="5"/>
        <v>6.2421451436083859E-2</v>
      </c>
    </row>
    <row r="103" spans="1:11" x14ac:dyDescent="0.2">
      <c r="A103" s="4" t="s">
        <v>247</v>
      </c>
      <c r="B103" s="43">
        <f>F58</f>
        <v>5043.9679999999989</v>
      </c>
      <c r="C103" s="695">
        <f t="shared" si="5"/>
        <v>0.3395726958122961</v>
      </c>
    </row>
    <row r="104" spans="1:11" x14ac:dyDescent="0.2">
      <c r="A104" s="687" t="str">
        <f>B59</f>
        <v>Verwaltung + übrige Arbeiten</v>
      </c>
      <c r="B104" s="118">
        <f>F59</f>
        <v>1656</v>
      </c>
      <c r="C104" s="696">
        <f t="shared" si="5"/>
        <v>0.11148611257350612</v>
      </c>
    </row>
    <row r="105" spans="1:11" x14ac:dyDescent="0.2">
      <c r="A105" s="697" t="str">
        <f>A87</f>
        <v>Arbeitskosten</v>
      </c>
      <c r="B105" s="43">
        <f>SUM(B98:B104)</f>
        <v>14853.867999999999</v>
      </c>
      <c r="C105" s="695">
        <f t="shared" si="5"/>
        <v>1</v>
      </c>
    </row>
    <row r="108" spans="1:11" x14ac:dyDescent="0.2">
      <c r="A108" s="300" t="s">
        <v>226</v>
      </c>
      <c r="B108" s="303" t="s">
        <v>70</v>
      </c>
      <c r="C108" s="305" t="s">
        <v>356</v>
      </c>
    </row>
    <row r="109" spans="1:11" x14ac:dyDescent="0.2">
      <c r="A109" s="187" t="str">
        <f>A103</f>
        <v>Ernte baumfallend</v>
      </c>
      <c r="B109" s="43">
        <f>B103</f>
        <v>5043.9679999999989</v>
      </c>
      <c r="C109" s="307">
        <f>B109/$B$113</f>
        <v>0.3395726958122961</v>
      </c>
    </row>
    <row r="110" spans="1:11" x14ac:dyDescent="0.2">
      <c r="A110" s="187" t="str">
        <f>A100</f>
        <v>Baumerziehung (Sommer+Winter)</v>
      </c>
      <c r="B110" s="43">
        <f>B100</f>
        <v>5232</v>
      </c>
      <c r="C110" s="307">
        <f>B110/$B$113</f>
        <v>0.35223148610180194</v>
      </c>
    </row>
    <row r="111" spans="1:11" x14ac:dyDescent="0.2">
      <c r="A111" s="187" t="str">
        <f>A102</f>
        <v>Behangsregulierung (von Hand)</v>
      </c>
      <c r="B111" s="43">
        <f>B102</f>
        <v>927.2</v>
      </c>
      <c r="C111" s="307">
        <f>B111/$B$113</f>
        <v>6.2421451436083859E-2</v>
      </c>
    </row>
    <row r="112" spans="1:11" x14ac:dyDescent="0.2">
      <c r="A112" s="208" t="s">
        <v>221</v>
      </c>
      <c r="B112" s="118">
        <f>B113-B109-B110-B111</f>
        <v>3650.7</v>
      </c>
      <c r="C112" s="694">
        <f>B112/$B$113</f>
        <v>0.24577436664981808</v>
      </c>
    </row>
    <row r="113" spans="1:11" x14ac:dyDescent="0.2">
      <c r="A113" s="698" t="str">
        <f>A105</f>
        <v>Arbeitskosten</v>
      </c>
      <c r="B113" s="43">
        <f>B105</f>
        <v>14853.867999999999</v>
      </c>
      <c r="C113" s="307">
        <f>B113/$B$113</f>
        <v>1</v>
      </c>
    </row>
    <row r="114" spans="1:11" x14ac:dyDescent="0.2">
      <c r="A114" s="1"/>
      <c r="B114" s="1"/>
      <c r="C114" s="1"/>
      <c r="F114" s="48"/>
    </row>
    <row r="115" spans="1:11" x14ac:dyDescent="0.2">
      <c r="F115" s="48"/>
    </row>
    <row r="116" spans="1:11" s="301" customFormat="1" ht="18" customHeight="1" x14ac:dyDescent="0.2">
      <c r="A116" s="300" t="s">
        <v>224</v>
      </c>
      <c r="B116" s="303" t="s">
        <v>70</v>
      </c>
      <c r="C116" s="302" t="s">
        <v>346</v>
      </c>
      <c r="D116" s="306"/>
      <c r="E116" s="306"/>
      <c r="F116" s="246"/>
      <c r="J116" s="303"/>
      <c r="K116" s="304"/>
    </row>
    <row r="117" spans="1:11" ht="15.75" customHeight="1" x14ac:dyDescent="0.2">
      <c r="A117" s="700" t="str">
        <f>A32</f>
        <v xml:space="preserve">Abschreibung Obstanlage </v>
      </c>
      <c r="B117" s="701">
        <f>F32</f>
        <v>8942.3750277954496</v>
      </c>
      <c r="C117" s="699">
        <f>B117/$B$120</f>
        <v>0.41849459254202059</v>
      </c>
      <c r="G117" s="1"/>
    </row>
    <row r="118" spans="1:11" x14ac:dyDescent="0.2">
      <c r="A118" s="1" t="str">
        <f>A37</f>
        <v>Maschinen und Geräte</v>
      </c>
      <c r="B118" s="43">
        <f>F48</f>
        <v>4870.7833333333338</v>
      </c>
      <c r="C118" s="699">
        <f>B118/$B$120</f>
        <v>0.22794799816691663</v>
      </c>
    </row>
    <row r="119" spans="1:11" x14ac:dyDescent="0.2">
      <c r="A119" s="208" t="s">
        <v>220</v>
      </c>
      <c r="B119" s="118">
        <f>B120-B117-B118</f>
        <v>7554.7999999999947</v>
      </c>
      <c r="C119" s="702">
        <f>B119/$B$120</f>
        <v>0.35355740929106277</v>
      </c>
    </row>
    <row r="120" spans="1:11" x14ac:dyDescent="0.2">
      <c r="A120" s="1" t="str">
        <f>A89</f>
        <v>Sachkosten</v>
      </c>
      <c r="B120" s="43">
        <f>B89</f>
        <v>21367.958361128778</v>
      </c>
      <c r="C120" s="699">
        <f>B120/$B$120</f>
        <v>1</v>
      </c>
    </row>
    <row r="121" spans="1:11" x14ac:dyDescent="0.2">
      <c r="A121" s="1"/>
      <c r="B121" s="1"/>
      <c r="C121" s="1"/>
    </row>
    <row r="123" spans="1:11" s="301" customFormat="1" ht="33" customHeight="1" x14ac:dyDescent="0.2">
      <c r="A123" s="308" t="s">
        <v>218</v>
      </c>
      <c r="B123" s="303" t="s">
        <v>70</v>
      </c>
      <c r="C123" s="302" t="s">
        <v>217</v>
      </c>
      <c r="J123" s="303"/>
      <c r="K123" s="304"/>
    </row>
    <row r="124" spans="1:11" x14ac:dyDescent="0.2">
      <c r="A124" s="1" t="str">
        <f>A34</f>
        <v>Total Direktkosten</v>
      </c>
      <c r="B124" s="43">
        <f>F34</f>
        <v>16347.175027795449</v>
      </c>
      <c r="C124" s="307">
        <f>G34</f>
        <v>0.4177428606721354</v>
      </c>
      <c r="D124" s="1"/>
    </row>
    <row r="125" spans="1:11" x14ac:dyDescent="0.2">
      <c r="A125" s="208" t="str">
        <f>A64</f>
        <v>Total Strukturkosten</v>
      </c>
      <c r="B125" s="118">
        <f>F64</f>
        <v>22784.971962085718</v>
      </c>
      <c r="C125" s="694">
        <f>G64</f>
        <v>0.58225713932786471</v>
      </c>
      <c r="D125" s="1"/>
    </row>
    <row r="126" spans="1:11" x14ac:dyDescent="0.2">
      <c r="A126" s="1" t="str">
        <f>A65</f>
        <v>Produktionskosten pro ha</v>
      </c>
      <c r="B126" s="43">
        <f>SUM(B124:B125)</f>
        <v>39132.146989881163</v>
      </c>
      <c r="C126" s="307">
        <f>SUM(C124:C125)</f>
        <v>1</v>
      </c>
      <c r="D126" s="1"/>
    </row>
    <row r="129" spans="1:7" ht="18" x14ac:dyDescent="0.25">
      <c r="A129" s="581" t="s">
        <v>329</v>
      </c>
      <c r="B129" s="437"/>
      <c r="C129" s="437"/>
      <c r="D129" s="437"/>
      <c r="E129" s="437"/>
      <c r="F129" s="691"/>
      <c r="G129" s="1"/>
    </row>
    <row r="130" spans="1:7" x14ac:dyDescent="0.2">
      <c r="B130" s="303" t="s">
        <v>70</v>
      </c>
      <c r="C130" s="302" t="s">
        <v>217</v>
      </c>
    </row>
    <row r="131" spans="1:7" x14ac:dyDescent="0.2">
      <c r="A131" s="64" t="s">
        <v>321</v>
      </c>
    </row>
    <row r="132" spans="1:7" x14ac:dyDescent="0.2">
      <c r="A132" s="110" t="s">
        <v>108</v>
      </c>
      <c r="B132" s="200">
        <f>F24-F23</f>
        <v>4240</v>
      </c>
      <c r="C132" s="365">
        <f>B132/$F$65</f>
        <v>0.10835081451310055</v>
      </c>
    </row>
    <row r="133" spans="1:7" x14ac:dyDescent="0.2">
      <c r="A133" s="1"/>
      <c r="B133" s="43"/>
      <c r="C133" s="365">
        <f t="shared" ref="C133:C141" si="6">B133/$F$65</f>
        <v>0</v>
      </c>
    </row>
    <row r="134" spans="1:7" x14ac:dyDescent="0.2">
      <c r="A134" s="106" t="s">
        <v>23</v>
      </c>
      <c r="B134" s="46"/>
      <c r="C134" s="365">
        <f t="shared" si="6"/>
        <v>0</v>
      </c>
    </row>
    <row r="135" spans="1:7" x14ac:dyDescent="0.2">
      <c r="A135" s="1" t="str">
        <f>B37</f>
        <v>Anbaugebläsepritze 1000 l</v>
      </c>
      <c r="B135" s="43">
        <f>F37</f>
        <v>925</v>
      </c>
      <c r="C135" s="365">
        <f t="shared" si="6"/>
        <v>2.3637854581277831E-2</v>
      </c>
    </row>
    <row r="136" spans="1:7" x14ac:dyDescent="0.2">
      <c r="A136" s="1" t="str">
        <f>B38</f>
        <v>Anbaufeldspritze, 12 m Balken, 600 l Fass</v>
      </c>
      <c r="B136" s="43">
        <f>F38</f>
        <v>126</v>
      </c>
      <c r="C136" s="365">
        <f t="shared" si="6"/>
        <v>3.2198591105308183E-3</v>
      </c>
    </row>
    <row r="137" spans="1:7" x14ac:dyDescent="0.2">
      <c r="A137" s="1" t="s">
        <v>24</v>
      </c>
      <c r="B137" s="703">
        <f>((C37*D37)+(C38*D38))*E45</f>
        <v>1148</v>
      </c>
      <c r="C137" s="365">
        <f t="shared" si="6"/>
        <v>2.9336494118169677E-2</v>
      </c>
    </row>
    <row r="138" spans="1:7" x14ac:dyDescent="0.2">
      <c r="A138" s="1"/>
      <c r="B138" s="200">
        <f>SUM(B135:B137)</f>
        <v>2199</v>
      </c>
      <c r="C138" s="365">
        <f t="shared" si="6"/>
        <v>5.619420780997833E-2</v>
      </c>
    </row>
    <row r="139" spans="1:7" x14ac:dyDescent="0.2">
      <c r="B139" s="12"/>
      <c r="C139" s="365">
        <f t="shared" si="6"/>
        <v>0</v>
      </c>
    </row>
    <row r="140" spans="1:7" x14ac:dyDescent="0.2">
      <c r="A140" s="64" t="s">
        <v>28</v>
      </c>
      <c r="B140" s="12"/>
      <c r="C140" s="365">
        <f t="shared" si="6"/>
        <v>0</v>
      </c>
    </row>
    <row r="141" spans="1:7" x14ac:dyDescent="0.2">
      <c r="A141" s="23" t="str">
        <f>B51</f>
        <v>Pflanzenschutz inkl. Kontrolle und Mausen</v>
      </c>
      <c r="B141" s="121">
        <f>F51</f>
        <v>1569.6000000000001</v>
      </c>
      <c r="C141" s="365">
        <f t="shared" si="6"/>
        <v>4.0110244919755338E-2</v>
      </c>
    </row>
    <row r="142" spans="1:7" x14ac:dyDescent="0.2">
      <c r="A142" s="1"/>
      <c r="B142" s="1"/>
    </row>
    <row r="143" spans="1:7" x14ac:dyDescent="0.2">
      <c r="A143" s="106" t="s">
        <v>331</v>
      </c>
      <c r="B143" s="200">
        <f>B132+B138+B141</f>
        <v>8008.6</v>
      </c>
      <c r="C143" s="391">
        <f>B143/$F$65</f>
        <v>0.20465526724283423</v>
      </c>
    </row>
    <row r="144" spans="1:7" x14ac:dyDescent="0.2">
      <c r="A144" s="1" t="s">
        <v>324</v>
      </c>
      <c r="B144" s="43">
        <f>F65-B150</f>
        <v>31123.546989881164</v>
      </c>
      <c r="C144" s="365">
        <f>B144/$F$65</f>
        <v>0.79534473275716577</v>
      </c>
    </row>
    <row r="145" spans="1:11" x14ac:dyDescent="0.2">
      <c r="A145" s="1"/>
      <c r="B145" s="1"/>
    </row>
    <row r="146" spans="1:11" ht="25.5" x14ac:dyDescent="0.2">
      <c r="A146" s="106" t="s">
        <v>323</v>
      </c>
      <c r="B146" s="246" t="s">
        <v>70</v>
      </c>
      <c r="C146" s="392" t="s">
        <v>345</v>
      </c>
    </row>
    <row r="147" spans="1:11" x14ac:dyDescent="0.2">
      <c r="A147" s="1" t="s">
        <v>321</v>
      </c>
      <c r="B147" s="43">
        <f>B132</f>
        <v>4240</v>
      </c>
      <c r="C147" s="365">
        <f>B147/$B$150</f>
        <v>0.52943086182353971</v>
      </c>
    </row>
    <row r="148" spans="1:11" x14ac:dyDescent="0.2">
      <c r="A148" s="1" t="s">
        <v>23</v>
      </c>
      <c r="B148" s="43">
        <f>B138</f>
        <v>2199</v>
      </c>
      <c r="C148" s="365">
        <f>B148/$B$150</f>
        <v>0.2745798266863122</v>
      </c>
    </row>
    <row r="149" spans="1:11" x14ac:dyDescent="0.2">
      <c r="A149" s="208" t="s">
        <v>28</v>
      </c>
      <c r="B149" s="118">
        <f>B141</f>
        <v>1569.6000000000001</v>
      </c>
      <c r="C149" s="367">
        <f>B149/$B$150</f>
        <v>0.19598931149014809</v>
      </c>
    </row>
    <row r="150" spans="1:11" s="301" customFormat="1" ht="28.5" customHeight="1" x14ac:dyDescent="0.2">
      <c r="A150" s="704" t="s">
        <v>337</v>
      </c>
      <c r="B150" s="309">
        <f>SUM(B147:B149)</f>
        <v>8008.6</v>
      </c>
      <c r="C150" s="365">
        <f>B150/$B$150</f>
        <v>1</v>
      </c>
      <c r="J150" s="303"/>
      <c r="K150" s="304"/>
    </row>
    <row r="151" spans="1:11" ht="15.75" customHeight="1" x14ac:dyDescent="0.2">
      <c r="A151" s="1"/>
      <c r="B151" s="43"/>
      <c r="C151" s="107"/>
      <c r="D151" s="1"/>
    </row>
    <row r="153" spans="1:11" ht="18.75" x14ac:dyDescent="0.3">
      <c r="A153" s="581" t="s">
        <v>333</v>
      </c>
      <c r="B153" s="437"/>
      <c r="C153" s="437"/>
      <c r="D153" s="437"/>
      <c r="E153" s="437"/>
      <c r="F153" s="691"/>
      <c r="G153" s="1"/>
    </row>
    <row r="154" spans="1:11" x14ac:dyDescent="0.2">
      <c r="B154" s="303" t="s">
        <v>70</v>
      </c>
      <c r="C154" s="302" t="s">
        <v>217</v>
      </c>
    </row>
    <row r="155" spans="1:11" x14ac:dyDescent="0.2">
      <c r="A155" t="s">
        <v>23</v>
      </c>
    </row>
    <row r="156" spans="1:11" x14ac:dyDescent="0.2">
      <c r="A156" s="70" t="str">
        <f>B40</f>
        <v>Erntewagen 4 Grosskisten</v>
      </c>
      <c r="B156" s="43">
        <f>F40</f>
        <v>260.66666666666663</v>
      </c>
      <c r="C156" s="365">
        <f>B156/$F$65</f>
        <v>6.6611900117330676E-3</v>
      </c>
    </row>
    <row r="157" spans="1:11" x14ac:dyDescent="0.2">
      <c r="A157" s="70" t="s">
        <v>24</v>
      </c>
      <c r="B157" s="168">
        <f>((D41*E41))</f>
        <v>54.399999999999991</v>
      </c>
      <c r="C157" s="365">
        <f>B157/$F$65</f>
        <v>1.3901613937529879E-3</v>
      </c>
    </row>
    <row r="158" spans="1:11" x14ac:dyDescent="0.2">
      <c r="A158" t="s">
        <v>28</v>
      </c>
      <c r="B158" s="46"/>
      <c r="C158" s="365"/>
    </row>
    <row r="159" spans="1:11" x14ac:dyDescent="0.2">
      <c r="A159" s="366" t="str">
        <f>B58</f>
        <v>Ernte baumfallend</v>
      </c>
      <c r="B159" s="60">
        <f>F58</f>
        <v>5043.9679999999989</v>
      </c>
      <c r="C159" s="365">
        <f>B159/$F$65</f>
        <v>0.12889576442877704</v>
      </c>
    </row>
    <row r="160" spans="1:11" x14ac:dyDescent="0.2">
      <c r="A160" s="64" t="s">
        <v>332</v>
      </c>
      <c r="B160" s="200">
        <f>SUM(B156:B159)</f>
        <v>5359.0346666666655</v>
      </c>
      <c r="C160" s="391">
        <f>B160/$F$65</f>
        <v>0.13694711583426308</v>
      </c>
    </row>
    <row r="161" spans="1:3" x14ac:dyDescent="0.2">
      <c r="A161" t="s">
        <v>324</v>
      </c>
      <c r="B161" s="43">
        <f>F65-B160</f>
        <v>33773.112323214496</v>
      </c>
      <c r="C161" s="365">
        <f>B161/$F$65</f>
        <v>0.86305288416573689</v>
      </c>
    </row>
    <row r="162" spans="1:3" x14ac:dyDescent="0.2">
      <c r="B162" s="1"/>
    </row>
    <row r="163" spans="1:3" x14ac:dyDescent="0.2">
      <c r="A163" s="64" t="s">
        <v>323</v>
      </c>
      <c r="B163" s="246" t="s">
        <v>70</v>
      </c>
      <c r="C163" s="302" t="s">
        <v>348</v>
      </c>
    </row>
    <row r="164" spans="1:3" x14ac:dyDescent="0.2">
      <c r="A164" t="s">
        <v>23</v>
      </c>
      <c r="B164" s="43">
        <f>B156+B157</f>
        <v>315.06666666666661</v>
      </c>
      <c r="C164" s="365">
        <f>B164/$B$166</f>
        <v>5.8791682880200313E-2</v>
      </c>
    </row>
    <row r="165" spans="1:3" x14ac:dyDescent="0.2">
      <c r="A165" s="40" t="s">
        <v>28</v>
      </c>
      <c r="B165" s="118">
        <f>B159</f>
        <v>5043.9679999999989</v>
      </c>
      <c r="C165" s="367">
        <f>B165/$B$166</f>
        <v>0.94120831711979969</v>
      </c>
    </row>
    <row r="166" spans="1:3" x14ac:dyDescent="0.2">
      <c r="A166" t="s">
        <v>332</v>
      </c>
      <c r="B166" s="236">
        <f>SUM(B164:B165)</f>
        <v>5359.0346666666655</v>
      </c>
      <c r="C166" s="365">
        <f>B166/$B$166</f>
        <v>1</v>
      </c>
    </row>
    <row r="167" spans="1:3" x14ac:dyDescent="0.2">
      <c r="B167" s="31"/>
      <c r="C167" s="365"/>
    </row>
  </sheetData>
  <mergeCells count="2">
    <mergeCell ref="B74:E74"/>
    <mergeCell ref="C2:F2"/>
  </mergeCells>
  <phoneticPr fontId="24" type="noConversion"/>
  <printOptions gridLines="1" gridLinesSet="0"/>
  <pageMargins left="0.78740157480314965" right="0.39370078740157483" top="0.59055118110236227" bottom="0.39370078740157483" header="0.51181102362204722" footer="0.51181102362204722"/>
  <pageSetup paperSize="9" scale="65" orientation="portrait" r:id="rId1"/>
  <headerFooter alignWithMargins="0">
    <oddFooter>&amp;L&amp;6&amp;F&amp;C&amp;6&amp;A  &amp;D&amp;R&amp;6Kontakt: patrik.mouron@faw.admin.ch</oddFooter>
  </headerFooter>
  <rowBreaks count="1" manualBreakCount="1">
    <brk id="81" max="16383" man="1"/>
  </rowBreaks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tandardCashflow">
    <tabColor indexed="18"/>
  </sheetPr>
  <dimension ref="A1:L58"/>
  <sheetViews>
    <sheetView zoomScale="75" workbookViewId="0">
      <selection activeCell="F1" sqref="F1"/>
    </sheetView>
  </sheetViews>
  <sheetFormatPr baseColWidth="10" defaultRowHeight="12.75" x14ac:dyDescent="0.2"/>
  <cols>
    <col min="1" max="1" width="33.7109375" customWidth="1"/>
    <col min="2" max="2" width="9.28515625" customWidth="1"/>
    <col min="3" max="3" width="21.7109375" bestFit="1" customWidth="1"/>
    <col min="4" max="4" width="17" customWidth="1"/>
    <col min="5" max="5" width="21.7109375" customWidth="1"/>
    <col min="6" max="6" width="12.7109375" customWidth="1"/>
    <col min="7" max="7" width="16" customWidth="1"/>
    <col min="8" max="8" width="13" customWidth="1"/>
    <col min="11" max="11" width="14.7109375" customWidth="1"/>
  </cols>
  <sheetData>
    <row r="1" spans="1:11" ht="31.5" customHeight="1" x14ac:dyDescent="0.6">
      <c r="A1" s="438" t="str">
        <f>'Standard Vorgaben'!A1</f>
        <v>Arbokost 2023</v>
      </c>
      <c r="B1" s="452"/>
      <c r="C1" s="636" t="str">
        <f>'Standard Vorgaben'!B9</f>
        <v>Tafelbirnen</v>
      </c>
      <c r="D1" s="452"/>
      <c r="E1" s="452"/>
      <c r="F1" s="452"/>
      <c r="G1" s="452"/>
      <c r="H1" s="452"/>
      <c r="I1" s="452"/>
      <c r="J1" s="452"/>
      <c r="K1" s="452"/>
    </row>
    <row r="2" spans="1:11" ht="24.75" customHeight="1" x14ac:dyDescent="0.25">
      <c r="A2" s="870" t="str">
        <f>'Standard Vorgaben'!A2</f>
        <v>Standard 1ha</v>
      </c>
      <c r="B2" s="452"/>
      <c r="C2" s="931">
        <f>'Standard Vorgaben'!B12</f>
        <v>2000</v>
      </c>
      <c r="D2" s="452"/>
      <c r="E2" s="452"/>
      <c r="F2" s="452"/>
      <c r="G2" s="452"/>
      <c r="H2" s="452"/>
      <c r="I2" s="452"/>
      <c r="J2" s="452"/>
      <c r="K2" s="452"/>
    </row>
    <row r="3" spans="1:11" ht="20.25" x14ac:dyDescent="0.3">
      <c r="A3" s="705"/>
      <c r="B3" s="452"/>
      <c r="C3" s="452"/>
      <c r="D3" s="452"/>
      <c r="E3" s="452"/>
      <c r="F3" s="452"/>
      <c r="G3" s="452"/>
      <c r="H3" s="452"/>
      <c r="I3" s="452"/>
      <c r="J3" s="452"/>
      <c r="K3" s="452"/>
    </row>
    <row r="4" spans="1:11" ht="23.25" x14ac:dyDescent="0.35">
      <c r="A4" s="706" t="s">
        <v>392</v>
      </c>
      <c r="B4" s="707"/>
      <c r="C4" s="708"/>
      <c r="D4" s="708"/>
      <c r="E4" s="708"/>
      <c r="F4" s="709"/>
      <c r="G4" s="709"/>
      <c r="H4" s="709"/>
      <c r="I4" s="445"/>
      <c r="J4" s="445"/>
    </row>
    <row r="5" spans="1:11" s="1" customFormat="1" ht="38.25" customHeight="1" x14ac:dyDescent="0.25">
      <c r="A5" s="713"/>
      <c r="B5" s="933"/>
      <c r="C5" s="933"/>
      <c r="D5" s="933"/>
      <c r="E5" s="932"/>
      <c r="F5" s="23"/>
      <c r="G5" s="23"/>
      <c r="H5" s="23"/>
      <c r="I5" s="23"/>
    </row>
    <row r="6" spans="1:11" s="1" customFormat="1" ht="18" customHeight="1" x14ac:dyDescent="0.3">
      <c r="A6" s="133"/>
      <c r="B6" s="72"/>
      <c r="E6" s="23"/>
      <c r="F6" s="279"/>
      <c r="G6" s="279"/>
      <c r="H6" s="934"/>
      <c r="I6" s="23"/>
    </row>
    <row r="7" spans="1:11" s="1" customFormat="1" ht="20.25" x14ac:dyDescent="0.3">
      <c r="A7" s="133"/>
      <c r="B7" s="72"/>
      <c r="E7" s="23"/>
      <c r="F7" s="935"/>
      <c r="G7" s="935"/>
      <c r="H7" s="935"/>
      <c r="I7" s="23"/>
    </row>
    <row r="8" spans="1:11" s="1" customFormat="1" ht="20.25" x14ac:dyDescent="0.3">
      <c r="A8" s="133"/>
      <c r="B8" s="72"/>
      <c r="E8" s="23"/>
      <c r="F8" s="23"/>
      <c r="G8" s="23"/>
      <c r="H8" s="23"/>
      <c r="I8" s="23"/>
    </row>
    <row r="9" spans="1:11" s="1" customFormat="1" ht="20.25" x14ac:dyDescent="0.3">
      <c r="A9" s="133"/>
      <c r="B9" s="72"/>
    </row>
    <row r="10" spans="1:11" s="1" customFormat="1" ht="20.25" x14ac:dyDescent="0.3">
      <c r="A10" s="133"/>
      <c r="B10" s="72"/>
      <c r="G10" s="134"/>
    </row>
    <row r="11" spans="1:11" s="1" customFormat="1" ht="20.25" x14ac:dyDescent="0.3">
      <c r="A11" s="133"/>
      <c r="B11" s="72"/>
      <c r="G11" s="134"/>
    </row>
    <row r="12" spans="1:11" s="1" customFormat="1" ht="20.25" x14ac:dyDescent="0.3">
      <c r="A12" s="133"/>
      <c r="B12" s="72"/>
      <c r="G12" s="134"/>
    </row>
    <row r="13" spans="1:11" s="1" customFormat="1" ht="20.25" x14ac:dyDescent="0.3">
      <c r="A13" s="133"/>
      <c r="B13" s="72"/>
      <c r="G13" s="134"/>
    </row>
    <row r="14" spans="1:11" s="1" customFormat="1" ht="20.25" x14ac:dyDescent="0.3">
      <c r="A14" s="133"/>
      <c r="B14" s="72"/>
      <c r="G14" s="134"/>
    </row>
    <row r="15" spans="1:11" s="1" customFormat="1" ht="20.25" x14ac:dyDescent="0.3">
      <c r="A15" s="133"/>
      <c r="B15" s="72"/>
      <c r="G15" s="134"/>
    </row>
    <row r="16" spans="1:11" s="1" customFormat="1" ht="20.25" x14ac:dyDescent="0.3">
      <c r="A16" s="133"/>
      <c r="B16" s="72"/>
      <c r="G16" s="134"/>
    </row>
    <row r="17" spans="1:12" s="1" customFormat="1" ht="20.25" x14ac:dyDescent="0.3">
      <c r="A17" s="133"/>
      <c r="B17" s="72"/>
      <c r="G17" s="134"/>
    </row>
    <row r="18" spans="1:12" s="1" customFormat="1" ht="20.25" x14ac:dyDescent="0.3">
      <c r="A18" s="133"/>
      <c r="B18" s="72"/>
      <c r="G18" s="134"/>
    </row>
    <row r="19" spans="1:12" s="1" customFormat="1" ht="20.25" x14ac:dyDescent="0.3">
      <c r="A19" s="72"/>
      <c r="B19" s="72"/>
      <c r="G19" s="134"/>
    </row>
    <row r="20" spans="1:12" ht="181.5" customHeight="1" x14ac:dyDescent="0.3">
      <c r="A20" s="71"/>
      <c r="B20" s="71"/>
      <c r="G20" s="81"/>
    </row>
    <row r="21" spans="1:12" ht="23.25" customHeight="1" x14ac:dyDescent="0.2">
      <c r="A21" s="3" t="s">
        <v>38</v>
      </c>
      <c r="B21" s="3"/>
      <c r="C21" s="1"/>
      <c r="D21" s="23"/>
      <c r="E21" s="97" t="str">
        <f>'Standard Vorgaben'!B47</f>
        <v>Klasse I</v>
      </c>
      <c r="F21" s="97" t="str">
        <f>'Standard Vorgaben'!C47</f>
        <v>Klasse II</v>
      </c>
      <c r="G21" s="97" t="str">
        <f>'Standard Vorgaben'!D47</f>
        <v>Mostobst total</v>
      </c>
    </row>
    <row r="22" spans="1:12" ht="15" customHeight="1" x14ac:dyDescent="0.2">
      <c r="A22" s="937">
        <f>'Standard Vorgaben'!$B$12</f>
        <v>2000</v>
      </c>
      <c r="B22" s="3"/>
      <c r="C22" s="1"/>
      <c r="E22" s="62">
        <f>'Standard Vorgaben'!B71</f>
        <v>1.2199999999999998</v>
      </c>
      <c r="F22" s="62">
        <f>'Standard Vorgaben'!C71</f>
        <v>0.40000000000000008</v>
      </c>
      <c r="G22" s="62">
        <f>'Standard Vorgaben'!D71</f>
        <v>0</v>
      </c>
    </row>
    <row r="23" spans="1:12" ht="31.5" x14ac:dyDescent="0.2">
      <c r="A23" s="965"/>
      <c r="B23" s="966"/>
      <c r="C23" s="977" t="s">
        <v>357</v>
      </c>
      <c r="D23" s="966"/>
      <c r="E23" s="966"/>
      <c r="F23" s="966"/>
      <c r="G23" s="966"/>
      <c r="H23" s="966"/>
      <c r="I23" s="966"/>
      <c r="J23" s="969"/>
    </row>
    <row r="24" spans="1:12" ht="15" x14ac:dyDescent="0.25">
      <c r="A24" s="967"/>
      <c r="B24" s="968"/>
      <c r="C24" s="978" t="s">
        <v>70</v>
      </c>
      <c r="D24" s="970" t="s">
        <v>257</v>
      </c>
      <c r="E24" s="970" t="s">
        <v>260</v>
      </c>
      <c r="F24" s="970" t="s">
        <v>264</v>
      </c>
      <c r="G24" s="970" t="s">
        <v>196</v>
      </c>
      <c r="H24" s="970" t="s">
        <v>55</v>
      </c>
      <c r="I24" s="970" t="s">
        <v>71</v>
      </c>
      <c r="J24" s="971" t="s">
        <v>66</v>
      </c>
    </row>
    <row r="25" spans="1:12" x14ac:dyDescent="0.2">
      <c r="A25" s="412" t="s">
        <v>72</v>
      </c>
      <c r="B25" s="13">
        <v>0</v>
      </c>
      <c r="C25" s="972">
        <f>'Standard 1.-20. Standjahr'!F70</f>
        <v>-84975.307555555541</v>
      </c>
      <c r="D25" s="938">
        <v>0</v>
      </c>
      <c r="E25" s="939">
        <f>C25*(-1)</f>
        <v>84975.307555555541</v>
      </c>
      <c r="F25" s="940">
        <f>D25-E25</f>
        <v>-84975.307555555541</v>
      </c>
      <c r="G25" s="90">
        <f>D25/E25</f>
        <v>0</v>
      </c>
      <c r="H25" s="60"/>
      <c r="I25" s="60"/>
      <c r="J25" s="943">
        <f>('Standard 1.-20. Standjahr'!F70)*(-1)</f>
        <v>84975.307555555541</v>
      </c>
      <c r="K25" s="8"/>
      <c r="L25" s="8"/>
    </row>
    <row r="26" spans="1:12" x14ac:dyDescent="0.2">
      <c r="A26" s="412" t="s">
        <v>73</v>
      </c>
      <c r="B26" s="13">
        <v>1</v>
      </c>
      <c r="C26" s="972">
        <f>'Standard 1.-20. Standjahr'!F71</f>
        <v>-94029.135323555543</v>
      </c>
      <c r="D26" s="938">
        <f>'Standard 1.-20. Standjahr'!F14</f>
        <v>1100</v>
      </c>
      <c r="E26" s="939">
        <f>'Standard 1.-20. Standjahr'!F67</f>
        <v>10153.827767999999</v>
      </c>
      <c r="F26" s="940">
        <f t="shared" ref="F26:F40" si="0">D26-E26</f>
        <v>-9053.8277679999992</v>
      </c>
      <c r="G26" s="90">
        <f t="shared" ref="G26:G40" si="1">D26/E26</f>
        <v>0.10833352949580975</v>
      </c>
      <c r="H26" s="941">
        <f>'Standard 1.-20. Standjahr'!D12</f>
        <v>0</v>
      </c>
      <c r="I26" s="942">
        <f>H26/A22</f>
        <v>0</v>
      </c>
      <c r="J26" s="943">
        <f>'Standard 1.-20. Standjahr'!F72</f>
        <v>94029.135323555543</v>
      </c>
      <c r="K26" s="9"/>
      <c r="L26" s="7"/>
    </row>
    <row r="27" spans="1:12" x14ac:dyDescent="0.2">
      <c r="A27" s="412" t="s">
        <v>40</v>
      </c>
      <c r="B27" s="13">
        <v>2</v>
      </c>
      <c r="C27" s="972">
        <f>'Standard 1.-20. Standjahr'!M71</f>
        <v>-102751.67891646754</v>
      </c>
      <c r="D27" s="938">
        <f>'Standard 1.-20. Standjahr'!M14</f>
        <v>3722</v>
      </c>
      <c r="E27" s="939">
        <f>'Standard 1.-20. Standjahr'!M67</f>
        <v>12444.543592911999</v>
      </c>
      <c r="F27" s="940">
        <f t="shared" si="0"/>
        <v>-8722.5435929119994</v>
      </c>
      <c r="G27" s="90">
        <f t="shared" si="1"/>
        <v>0.29908690280292227</v>
      </c>
      <c r="H27" s="941">
        <f>'Standard 1.-20. Standjahr'!K12</f>
        <v>3000</v>
      </c>
      <c r="I27" s="942">
        <f>H27/A22</f>
        <v>1.5</v>
      </c>
      <c r="J27" s="943">
        <f>'Standard 1.-20. Standjahr'!M72</f>
        <v>102751.67891646754</v>
      </c>
      <c r="K27" s="9"/>
      <c r="L27" s="7"/>
    </row>
    <row r="28" spans="1:12" s="64" customFormat="1" x14ac:dyDescent="0.2">
      <c r="A28" s="944" t="s">
        <v>41</v>
      </c>
      <c r="B28" s="945">
        <v>3</v>
      </c>
      <c r="C28" s="973">
        <f>'Standard 1.-20. Standjahr'!T71</f>
        <v>-115627.86298504908</v>
      </c>
      <c r="D28" s="939">
        <f>'Standard 1.-20. Standjahr'!T14</f>
        <v>5470</v>
      </c>
      <c r="E28" s="939">
        <f>'Standard 1.-20. Standjahr'!T67</f>
        <v>18346.184068581544</v>
      </c>
      <c r="F28" s="946">
        <f t="shared" si="0"/>
        <v>-12876.184068581544</v>
      </c>
      <c r="G28" s="859">
        <f t="shared" si="1"/>
        <v>0.29815464510505801</v>
      </c>
      <c r="H28" s="947">
        <f>'Standard 1.-20. Standjahr'!R12</f>
        <v>5000</v>
      </c>
      <c r="I28" s="948">
        <f>H28/A22</f>
        <v>2.5</v>
      </c>
      <c r="J28" s="949">
        <f>'Standard 1.-20. Standjahr'!T72</f>
        <v>115627.86298504908</v>
      </c>
      <c r="K28" s="317"/>
      <c r="L28" s="318"/>
    </row>
    <row r="29" spans="1:12" s="82" customFormat="1" x14ac:dyDescent="0.2">
      <c r="A29" s="944" t="s">
        <v>42</v>
      </c>
      <c r="B29" s="945">
        <v>4</v>
      </c>
      <c r="C29" s="973">
        <f>'Standard 1.-20. Standjahr'!AA71</f>
        <v>-126133.10166858119</v>
      </c>
      <c r="D29" s="939">
        <f>'Standard 1.-20. Standjahr'!AA14</f>
        <v>9840</v>
      </c>
      <c r="E29" s="939">
        <f>'Standard 1.-20. Standjahr'!AA67</f>
        <v>20345.238683532109</v>
      </c>
      <c r="F29" s="946">
        <f t="shared" si="0"/>
        <v>-10505.238683532109</v>
      </c>
      <c r="G29" s="859">
        <f t="shared" si="1"/>
        <v>0.48365124406059273</v>
      </c>
      <c r="H29" s="947">
        <f>'Standard 1.-20. Standjahr'!Y12</f>
        <v>10000</v>
      </c>
      <c r="I29" s="948">
        <f>H29/A22</f>
        <v>5</v>
      </c>
      <c r="J29" s="949">
        <f>'Standard 1.-20. Standjahr'!AA72</f>
        <v>126133.10166858119</v>
      </c>
      <c r="K29" s="315"/>
      <c r="L29" s="316"/>
    </row>
    <row r="30" spans="1:12" x14ac:dyDescent="0.2">
      <c r="A30" s="950" t="s">
        <v>43</v>
      </c>
      <c r="B30" s="166">
        <v>5</v>
      </c>
      <c r="C30" s="974">
        <f>'Standard 1.-20. Standjahr'!AH71</f>
        <v>-134135.62541693175</v>
      </c>
      <c r="D30" s="951">
        <f>'Standard 1.-20. Standjahr'!AH14</f>
        <v>18580</v>
      </c>
      <c r="E30" s="951">
        <f>'Standard 1.-20. Standjahr'!AH67</f>
        <v>26582.523748350563</v>
      </c>
      <c r="F30" s="952">
        <f t="shared" si="0"/>
        <v>-8002.5237483505625</v>
      </c>
      <c r="G30" s="953">
        <f t="shared" si="1"/>
        <v>0.69895545569306161</v>
      </c>
      <c r="H30" s="921">
        <f>'Standard 1.-20. Standjahr'!AF12</f>
        <v>20000</v>
      </c>
      <c r="I30" s="920">
        <f>H30/A22</f>
        <v>10</v>
      </c>
      <c r="J30" s="954">
        <f>'Standard 1.-20. Standjahr'!AH72</f>
        <v>134135.62541693175</v>
      </c>
      <c r="K30" s="9"/>
      <c r="L30" s="7"/>
    </row>
    <row r="31" spans="1:12" x14ac:dyDescent="0.2">
      <c r="A31" s="412" t="s">
        <v>44</v>
      </c>
      <c r="B31" s="13">
        <v>6</v>
      </c>
      <c r="C31" s="972">
        <f>'Standard 1.-20. Standjahr'!AO71</f>
        <v>-134429.39737901746</v>
      </c>
      <c r="D31" s="938">
        <f>'Standard 1.-20. Standjahr'!AO14</f>
        <v>29068</v>
      </c>
      <c r="E31" s="939">
        <f>'Standard 1.-20. Standjahr'!AO67</f>
        <v>29361.771962085717</v>
      </c>
      <c r="F31" s="940">
        <f t="shared" si="0"/>
        <v>-293.77196208571695</v>
      </c>
      <c r="G31" s="90">
        <f t="shared" si="1"/>
        <v>0.98999474682709687</v>
      </c>
      <c r="H31" s="941">
        <f>'Standard 1.-20. Standjahr'!AM12</f>
        <v>32000</v>
      </c>
      <c r="I31" s="942">
        <f>H31/A22</f>
        <v>16</v>
      </c>
      <c r="J31" s="943">
        <f>'Standard 1.-20. Standjahr'!AO72</f>
        <v>125193.2503891363</v>
      </c>
      <c r="K31" s="9"/>
      <c r="L31" s="7"/>
    </row>
    <row r="32" spans="1:12" x14ac:dyDescent="0.2">
      <c r="A32" s="412" t="s">
        <v>45</v>
      </c>
      <c r="B32" s="13">
        <v>7</v>
      </c>
      <c r="C32" s="972">
        <f>'Standard 1.-20. Standjahr'!AV71</f>
        <v>-134725.81328876194</v>
      </c>
      <c r="D32" s="938">
        <f>'Standard 1.-20. Standjahr'!AV14</f>
        <v>29068</v>
      </c>
      <c r="E32" s="939">
        <f>'Standard 1.-20. Standjahr'!AV67</f>
        <v>29364.41590974449</v>
      </c>
      <c r="F32" s="940">
        <f t="shared" si="0"/>
        <v>-296.41590974448991</v>
      </c>
      <c r="G32" s="90">
        <f t="shared" si="1"/>
        <v>0.98990560852102205</v>
      </c>
      <c r="H32" s="941">
        <f>'Standard 1.-20. Standjahr'!AT12</f>
        <v>32000</v>
      </c>
      <c r="I32" s="942">
        <f>H32/A22</f>
        <v>16</v>
      </c>
      <c r="J32" s="943">
        <f>'Standard 1.-20. Standjahr'!AV72</f>
        <v>116250.87536134085</v>
      </c>
      <c r="K32" s="9"/>
      <c r="L32" s="7"/>
    </row>
    <row r="33" spans="1:12" x14ac:dyDescent="0.2">
      <c r="A33" s="955" t="s">
        <v>46</v>
      </c>
      <c r="B33" s="956">
        <v>8</v>
      </c>
      <c r="C33" s="975">
        <f>'Standard 1.-20. Standjahr'!BC71</f>
        <v>-135024.89694169414</v>
      </c>
      <c r="D33" s="938">
        <f>'Standard 1.-20. Standjahr'!BC14</f>
        <v>29068</v>
      </c>
      <c r="E33" s="939">
        <f>'Standard 1.-20. Standjahr'!BC67</f>
        <v>29367.08365293219</v>
      </c>
      <c r="F33" s="940">
        <f t="shared" si="0"/>
        <v>-299.08365293218958</v>
      </c>
      <c r="G33" s="90">
        <f t="shared" si="1"/>
        <v>0.98981568423794353</v>
      </c>
      <c r="H33" s="941">
        <f>'Standard 1.-20. Standjahr'!BA12</f>
        <v>32000</v>
      </c>
      <c r="I33" s="942">
        <f>H33/A22</f>
        <v>16</v>
      </c>
      <c r="J33" s="943">
        <f>'Standard 1.-20. Standjahr'!BC72</f>
        <v>107308.50033354539</v>
      </c>
      <c r="K33" s="9"/>
      <c r="L33" s="7"/>
    </row>
    <row r="34" spans="1:12" x14ac:dyDescent="0.2">
      <c r="A34" s="412" t="s">
        <v>47</v>
      </c>
      <c r="B34" s="13">
        <v>9</v>
      </c>
      <c r="C34" s="972">
        <f>'Standard 1.-20. Standjahr'!BJ71</f>
        <v>-135326.67234750272</v>
      </c>
      <c r="D34" s="938">
        <f>'Standard 1.-20. Standjahr'!BJ14</f>
        <v>29068</v>
      </c>
      <c r="E34" s="939">
        <f>'Standard 1.-20. Standjahr'!BJ67</f>
        <v>29369.775405808581</v>
      </c>
      <c r="F34" s="940">
        <f t="shared" si="0"/>
        <v>-301.77540580858113</v>
      </c>
      <c r="G34" s="90">
        <f t="shared" si="1"/>
        <v>0.98972496719369196</v>
      </c>
      <c r="H34" s="941">
        <f>'Standard 1.-20. Standjahr'!BH12</f>
        <v>32000</v>
      </c>
      <c r="I34" s="942">
        <f>H34/A22</f>
        <v>16</v>
      </c>
      <c r="J34" s="943">
        <f>'Standard 1.-20. Standjahr'!BJ72</f>
        <v>98366.125305749942</v>
      </c>
      <c r="K34" s="9"/>
      <c r="L34" s="7"/>
    </row>
    <row r="35" spans="1:12" x14ac:dyDescent="0.2">
      <c r="A35" s="955" t="s">
        <v>48</v>
      </c>
      <c r="B35" s="13">
        <v>10</v>
      </c>
      <c r="C35" s="972">
        <f>'Standard 1.-20. Standjahr'!BQ71</f>
        <v>-135631.16373196358</v>
      </c>
      <c r="D35" s="938">
        <f>'Standard 1.-20. Standjahr'!BQ14</f>
        <v>29068</v>
      </c>
      <c r="E35" s="939">
        <f>'Standard 1.-20. Standjahr'!BQ67</f>
        <v>29372.491384460856</v>
      </c>
      <c r="F35" s="940">
        <f t="shared" si="0"/>
        <v>-304.49138446085635</v>
      </c>
      <c r="G35" s="90">
        <f t="shared" si="1"/>
        <v>0.98963345054815666</v>
      </c>
      <c r="H35" s="941">
        <f>'Standard 1.-20. Standjahr'!BO12</f>
        <v>32000</v>
      </c>
      <c r="I35" s="942">
        <f>H35/A22</f>
        <v>16</v>
      </c>
      <c r="J35" s="943">
        <f>'Standard 1.-20. Standjahr'!BQ72</f>
        <v>89423.750277954488</v>
      </c>
      <c r="K35" s="9"/>
      <c r="L35" s="7"/>
    </row>
    <row r="36" spans="1:12" x14ac:dyDescent="0.2">
      <c r="A36" s="955" t="s">
        <v>49</v>
      </c>
      <c r="B36" s="13">
        <v>11</v>
      </c>
      <c r="C36" s="972">
        <f>'Standard 1.-20. Standjahr'!BX71</f>
        <v>-135938.39553888459</v>
      </c>
      <c r="D36" s="957">
        <f>'Standard 1.-20. Standjahr'!BX14</f>
        <v>29068</v>
      </c>
      <c r="E36" s="958">
        <f>'Standard 1.-20. Standjahr'!BX67</f>
        <v>29375.231806921005</v>
      </c>
      <c r="F36" s="940">
        <f t="shared" si="0"/>
        <v>-307.23180692100505</v>
      </c>
      <c r="G36" s="90">
        <f t="shared" si="1"/>
        <v>0.98954112740486977</v>
      </c>
      <c r="H36" s="941">
        <f>'Standard 1.-20. Standjahr'!BV12</f>
        <v>32000</v>
      </c>
      <c r="I36" s="942">
        <f>H36/A22</f>
        <v>16</v>
      </c>
      <c r="J36" s="943">
        <f>'Standard 1.-20. Standjahr'!BX72</f>
        <v>80481.375250159035</v>
      </c>
      <c r="K36" s="9"/>
      <c r="L36" s="7"/>
    </row>
    <row r="37" spans="1:12" x14ac:dyDescent="0.2">
      <c r="A37" s="412" t="s">
        <v>50</v>
      </c>
      <c r="B37" s="13">
        <v>12</v>
      </c>
      <c r="C37" s="972">
        <f>'Standard 1.-20. Standjahr'!CE71</f>
        <v>-136248.39243206789</v>
      </c>
      <c r="D37" s="957">
        <f>'Standard 1.-20. Standjahr'!CE14</f>
        <v>29068</v>
      </c>
      <c r="E37" s="958">
        <f>'Standard 1.-20. Standjahr'!CE67</f>
        <v>29377.996893183295</v>
      </c>
      <c r="F37" s="940">
        <f t="shared" si="0"/>
        <v>-309.99689318329547</v>
      </c>
      <c r="G37" s="90">
        <f t="shared" si="1"/>
        <v>0.98944799081059109</v>
      </c>
      <c r="H37" s="941">
        <f>'Standard 1.-20. Standjahr'!CC12</f>
        <v>32000</v>
      </c>
      <c r="I37" s="942">
        <f>H37/A22</f>
        <v>16</v>
      </c>
      <c r="J37" s="943">
        <f>'Standard 1.-20. Standjahr'!CE72</f>
        <v>71539.000222363582</v>
      </c>
      <c r="K37" s="9"/>
      <c r="L37" s="7"/>
    </row>
    <row r="38" spans="1:12" x14ac:dyDescent="0.2">
      <c r="A38" s="412" t="s">
        <v>51</v>
      </c>
      <c r="B38" s="959">
        <v>13</v>
      </c>
      <c r="C38" s="972">
        <f>'Standard 1.-20. Standjahr'!CL71</f>
        <v>-136561.17929728984</v>
      </c>
      <c r="D38" s="957">
        <f>'Standard 1.-20. Standjahr'!CL14</f>
        <v>29068</v>
      </c>
      <c r="E38" s="958">
        <f>'Standard 1.-20. Standjahr'!CL67</f>
        <v>29380.786865221944</v>
      </c>
      <c r="F38" s="940">
        <f t="shared" si="0"/>
        <v>-312.78686522194403</v>
      </c>
      <c r="G38" s="90">
        <f t="shared" si="1"/>
        <v>0.98935403375488928</v>
      </c>
      <c r="H38" s="941">
        <f>'Standard 1.-20. Standjahr'!CJ12</f>
        <v>32000</v>
      </c>
      <c r="I38" s="942">
        <f>H38/A22</f>
        <v>16</v>
      </c>
      <c r="J38" s="943">
        <f>'Standard 1.-20. Standjahr'!CL72</f>
        <v>62596.625194568129</v>
      </c>
      <c r="K38" s="9"/>
      <c r="L38" s="7"/>
    </row>
    <row r="39" spans="1:12" x14ac:dyDescent="0.2">
      <c r="A39" s="412" t="s">
        <v>52</v>
      </c>
      <c r="B39" s="13">
        <v>14</v>
      </c>
      <c r="C39" s="972">
        <f>'Standard 1.-20. Standjahr'!CS71</f>
        <v>-136876.78124429879</v>
      </c>
      <c r="D39" s="957">
        <f>'Standard 1.-20. Standjahr'!CS14</f>
        <v>29068</v>
      </c>
      <c r="E39" s="958">
        <f>'Standard 1.-20. Standjahr'!CS67</f>
        <v>29383.601947008941</v>
      </c>
      <c r="F39" s="940">
        <f t="shared" si="0"/>
        <v>-315.60194700894135</v>
      </c>
      <c r="G39" s="90">
        <f t="shared" si="1"/>
        <v>0.98925924916972041</v>
      </c>
      <c r="H39" s="941">
        <f>'Standard 1.-20. Standjahr'!CQ12</f>
        <v>32000</v>
      </c>
      <c r="I39" s="942">
        <f>H39/A22</f>
        <v>16</v>
      </c>
      <c r="J39" s="943">
        <f>'Standard 1.-20. Standjahr'!CS72</f>
        <v>53654.250166772676</v>
      </c>
      <c r="K39" s="9"/>
      <c r="L39" s="7"/>
    </row>
    <row r="40" spans="1:12" x14ac:dyDescent="0.2">
      <c r="A40" s="412" t="s">
        <v>53</v>
      </c>
      <c r="B40" s="13">
        <v>15</v>
      </c>
      <c r="C40" s="973">
        <f>'Standard 1.-20. Standjahr'!CZ71</f>
        <v>-137195.22360883083</v>
      </c>
      <c r="D40" s="957">
        <f>'Standard 1.-20. Standjahr'!CZ14</f>
        <v>29068</v>
      </c>
      <c r="E40" s="958">
        <f>'Standard 1.-20. Standjahr'!CZ67</f>
        <v>29386.44236453202</v>
      </c>
      <c r="F40" s="940">
        <f t="shared" si="0"/>
        <v>-318.44236453202029</v>
      </c>
      <c r="G40" s="90">
        <f t="shared" si="1"/>
        <v>0.98916362992900553</v>
      </c>
      <c r="H40" s="941">
        <f>'Standard 1.-20. Standjahr'!CX12</f>
        <v>32000</v>
      </c>
      <c r="I40" s="942">
        <f t="shared" ref="I40:I45" si="2">H40/$A$22</f>
        <v>16</v>
      </c>
      <c r="J40" s="943">
        <f>'Standard 1.-20. Standjahr'!CZ72</f>
        <v>44711.875138977222</v>
      </c>
      <c r="K40" s="9"/>
      <c r="L40" s="7"/>
    </row>
    <row r="41" spans="1:12" x14ac:dyDescent="0.2">
      <c r="A41" s="412" t="s">
        <v>360</v>
      </c>
      <c r="B41" s="13">
        <v>16</v>
      </c>
      <c r="C41" s="973">
        <f>'Standard 1.-20. Standjahr'!DG71</f>
        <v>-137516.53195464364</v>
      </c>
      <c r="D41" s="957">
        <f>'Standard 1.-20. Standjahr'!DG14</f>
        <v>29068</v>
      </c>
      <c r="E41" s="958">
        <f>'Standard 1.-20. Standjahr'!DG67</f>
        <v>29389.308345812809</v>
      </c>
      <c r="F41" s="940">
        <f>D41-E41</f>
        <v>-321.30834581280942</v>
      </c>
      <c r="G41" s="90">
        <f>D41/E41</f>
        <v>0.989067168848205</v>
      </c>
      <c r="H41" s="941">
        <f>'Standard 1.-20. Standjahr'!DE12</f>
        <v>32000</v>
      </c>
      <c r="I41" s="942">
        <f t="shared" si="2"/>
        <v>16</v>
      </c>
      <c r="J41" s="943">
        <f>'Standard 1.-20. Standjahr'!DG72</f>
        <v>35769.500111181769</v>
      </c>
      <c r="K41" s="9"/>
      <c r="L41" s="7"/>
    </row>
    <row r="42" spans="1:12" x14ac:dyDescent="0.2">
      <c r="A42" s="412" t="s">
        <v>361</v>
      </c>
      <c r="B42" s="13">
        <v>17</v>
      </c>
      <c r="C42" s="973">
        <f>'Standard 1.-20. Standjahr'!DN71</f>
        <v>-137840.73207556875</v>
      </c>
      <c r="D42" s="957">
        <f>'Standard 1.-20. Standjahr'!DN14</f>
        <v>29068</v>
      </c>
      <c r="E42" s="958">
        <f>'Standard 1.-20. Standjahr'!DN67</f>
        <v>29392.200120925125</v>
      </c>
      <c r="F42" s="940">
        <f>D42-E42</f>
        <v>-324.20012092512479</v>
      </c>
      <c r="G42" s="90">
        <f>D42/E42</f>
        <v>0.9889698586838922</v>
      </c>
      <c r="H42" s="941">
        <f>'Standard 1.-20. Standjahr'!DL12</f>
        <v>32000</v>
      </c>
      <c r="I42" s="942">
        <f t="shared" si="2"/>
        <v>16</v>
      </c>
      <c r="J42" s="943">
        <f>'Standard 1.-20. Standjahr'!DN72</f>
        <v>26827.12508338632</v>
      </c>
      <c r="K42" s="9"/>
      <c r="L42" s="7"/>
    </row>
    <row r="43" spans="1:12" x14ac:dyDescent="0.2">
      <c r="A43" s="412" t="s">
        <v>362</v>
      </c>
      <c r="B43" s="13">
        <v>18</v>
      </c>
      <c r="C43" s="973">
        <f>'Standard 1.-20. Standjahr'!DU71</f>
        <v>-138167.84999758221</v>
      </c>
      <c r="D43" s="957">
        <f>'Standard 1.-20. Standjahr'!DU14</f>
        <v>29068</v>
      </c>
      <c r="E43" s="958">
        <f>'Standard 1.-20. Standjahr'!DU67</f>
        <v>29395.117922013451</v>
      </c>
      <c r="F43" s="940">
        <f>D43-E43</f>
        <v>-327.11792201345088</v>
      </c>
      <c r="G43" s="90">
        <f>D43/E43</f>
        <v>0.9888716921333226</v>
      </c>
      <c r="H43" s="941">
        <f>'Standard 1.-20. Standjahr'!DS12</f>
        <v>32000</v>
      </c>
      <c r="I43" s="942">
        <f t="shared" si="2"/>
        <v>16</v>
      </c>
      <c r="J43" s="943">
        <f>'Standard 1.-20. Standjahr'!DU72</f>
        <v>17884.75005559087</v>
      </c>
      <c r="K43" s="9"/>
      <c r="L43" s="7"/>
    </row>
    <row r="44" spans="1:12" x14ac:dyDescent="0.2">
      <c r="A44" s="412" t="s">
        <v>363</v>
      </c>
      <c r="B44" s="13">
        <v>19</v>
      </c>
      <c r="C44" s="973">
        <f>'Standard 1.-20. Standjahr'!EB71</f>
        <v>-138497.91198089378</v>
      </c>
      <c r="D44" s="957">
        <f>'Standard 1.-20. Standjahr'!EB14</f>
        <v>29068</v>
      </c>
      <c r="E44" s="958">
        <f>'Standard 1.-20. Standjahr'!EB67</f>
        <v>29398.061983311574</v>
      </c>
      <c r="F44" s="940">
        <f>D44-E44</f>
        <v>-330.06198331157429</v>
      </c>
      <c r="G44" s="90">
        <f>D44/E44</f>
        <v>0.98877266183400314</v>
      </c>
      <c r="H44" s="941">
        <f>'Standard 1.-20. Standjahr'!DZ12</f>
        <v>32000</v>
      </c>
      <c r="I44" s="942">
        <f t="shared" si="2"/>
        <v>16</v>
      </c>
      <c r="J44" s="943">
        <f>'Standard 1.-20. Standjahr'!EB72</f>
        <v>8942.3750277954205</v>
      </c>
      <c r="K44" s="9"/>
      <c r="L44" s="7"/>
    </row>
    <row r="45" spans="1:12" x14ac:dyDescent="0.2">
      <c r="A45" s="960" t="s">
        <v>364</v>
      </c>
      <c r="B45" s="39">
        <v>20</v>
      </c>
      <c r="C45" s="976">
        <f>'Standard 1.-20. Standjahr'!EI71</f>
        <v>-144830.94452205516</v>
      </c>
      <c r="D45" s="161">
        <f>'Standard 1.-20. Standjahr'!EI14</f>
        <v>29068</v>
      </c>
      <c r="E45" s="422">
        <f>'Standard 1.-20. Standjahr'!EI67</f>
        <v>35401.032541161374</v>
      </c>
      <c r="F45" s="961">
        <f>D45-E45</f>
        <v>-6333.032541161374</v>
      </c>
      <c r="G45" s="209">
        <f>D45/E45</f>
        <v>0.8211059936232693</v>
      </c>
      <c r="H45" s="962">
        <f>'Standard 1.-20. Standjahr'!EG12</f>
        <v>32000</v>
      </c>
      <c r="I45" s="963">
        <f t="shared" si="2"/>
        <v>16</v>
      </c>
      <c r="J45" s="964">
        <f>'Standard 1.-20. Standjahr'!EI72</f>
        <v>-2.9103830456733704E-11</v>
      </c>
      <c r="K45" s="9"/>
      <c r="L45" s="7"/>
    </row>
    <row r="46" spans="1:12" x14ac:dyDescent="0.2">
      <c r="A46" s="14" t="s">
        <v>75</v>
      </c>
      <c r="B46" s="14"/>
      <c r="C46" s="66"/>
      <c r="D46" s="25"/>
      <c r="E46" s="25"/>
      <c r="F46" s="25"/>
      <c r="G46" s="25"/>
    </row>
    <row r="47" spans="1:12" x14ac:dyDescent="0.2">
      <c r="D47" s="16"/>
      <c r="E47" s="31"/>
    </row>
    <row r="48" spans="1:12" ht="21" customHeight="1" x14ac:dyDescent="0.25">
      <c r="A48" s="564" t="s">
        <v>370</v>
      </c>
      <c r="B48" s="480"/>
      <c r="C48" s="714">
        <f>C45</f>
        <v>-144830.94452205516</v>
      </c>
    </row>
    <row r="49" spans="1:5" ht="8.25" customHeight="1" x14ac:dyDescent="0.25">
      <c r="A49" s="48"/>
      <c r="B49" s="44"/>
      <c r="C49" s="91"/>
    </row>
    <row r="50" spans="1:5" ht="15.75" x14ac:dyDescent="0.25">
      <c r="A50" s="443" t="s">
        <v>76</v>
      </c>
      <c r="B50" s="480"/>
      <c r="C50" s="717">
        <f>'Standard Ertragsphase'!F71</f>
        <v>10.349221096733206</v>
      </c>
      <c r="D50" s="82"/>
    </row>
    <row r="51" spans="1:5" x14ac:dyDescent="0.2">
      <c r="A51" t="s">
        <v>77</v>
      </c>
      <c r="B51" s="12"/>
      <c r="C51" s="181">
        <f>'Standard Ertragsphase'!D60-'Standard Ertragsphase'!B60</f>
        <v>344.63999999999993</v>
      </c>
    </row>
    <row r="52" spans="1:5" x14ac:dyDescent="0.2">
      <c r="A52" t="s">
        <v>240</v>
      </c>
      <c r="C52" s="716">
        <f>2800/C51</f>
        <v>8.1244196843082648</v>
      </c>
      <c r="D52" t="s">
        <v>239</v>
      </c>
    </row>
    <row r="53" spans="1:5" ht="9.75" customHeight="1" x14ac:dyDescent="0.2"/>
    <row r="54" spans="1:5" ht="22.5" customHeight="1" x14ac:dyDescent="0.25">
      <c r="A54" s="443" t="s">
        <v>349</v>
      </c>
      <c r="B54" s="496"/>
      <c r="C54" s="715"/>
    </row>
    <row r="55" spans="1:5" ht="15.75" x14ac:dyDescent="0.25">
      <c r="A55" s="443" t="str">
        <f>'Standard Vorgaben'!B16</f>
        <v>Klasse I</v>
      </c>
      <c r="B55" s="715">
        <f>'Standard Ertragsphase'!F80</f>
        <v>1.7069943981570017</v>
      </c>
      <c r="C55" s="480"/>
    </row>
    <row r="56" spans="1:5" ht="15" x14ac:dyDescent="0.2">
      <c r="A56" s="564" t="str">
        <f>'Standard Vorgaben'!C16</f>
        <v>Klasse II</v>
      </c>
      <c r="B56" s="566">
        <f>'Standard Ertragsphase'!F81</f>
        <v>0</v>
      </c>
      <c r="C56" s="480"/>
    </row>
    <row r="58" spans="1:5" x14ac:dyDescent="0.2">
      <c r="C58" s="104"/>
      <c r="D58" s="104"/>
      <c r="E58" s="105"/>
    </row>
  </sheetData>
  <phoneticPr fontId="24" type="noConversion"/>
  <printOptions gridLines="1" gridLinesSet="0"/>
  <pageMargins left="0.78740157480314965" right="0.78740157480314965" top="0.59055118110236227" bottom="0.59055118110236227" header="0.51181102362204722" footer="0.51181102362204722"/>
  <pageSetup paperSize="9" scale="60" orientation="portrait" r:id="rId1"/>
  <headerFooter alignWithMargins="0">
    <oddFooter>&amp;L&amp;6&amp;F&amp;C&amp;6&amp;A  &amp;D&amp;R&amp;6Kontakt: patrik.mouron@faw.admin.ch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VarianteVorgaben">
    <tabColor indexed="17"/>
  </sheetPr>
  <dimension ref="A1:O169"/>
  <sheetViews>
    <sheetView zoomScale="90" zoomScaleNormal="90" workbookViewId="0">
      <selection sqref="A1:XFD1048576"/>
    </sheetView>
  </sheetViews>
  <sheetFormatPr baseColWidth="10" defaultRowHeight="12.75" x14ac:dyDescent="0.2"/>
  <cols>
    <col min="1" max="1" width="31.7109375" customWidth="1"/>
    <col min="2" max="2" width="21.7109375" customWidth="1"/>
    <col min="3" max="3" width="17" style="137" customWidth="1"/>
    <col min="4" max="4" width="17" style="12" customWidth="1"/>
    <col min="5" max="5" width="20.5703125" style="12" customWidth="1"/>
    <col min="6" max="6" width="16.7109375" style="12" customWidth="1"/>
    <col min="7" max="7" width="15.7109375" customWidth="1"/>
    <col min="8" max="8" width="15.5703125" customWidth="1"/>
    <col min="9" max="9" width="13.7109375" customWidth="1"/>
    <col min="12" max="12" width="14.28515625" customWidth="1"/>
  </cols>
  <sheetData>
    <row r="1" spans="1:9" ht="44.25" customHeight="1" x14ac:dyDescent="0.25">
      <c r="A1" s="1036" t="str">
        <f>Eingabeseite!A1</f>
        <v>Arbokost 2023</v>
      </c>
      <c r="B1" s="1245" t="str">
        <f>B8</f>
        <v>Tafelbirnen</v>
      </c>
      <c r="C1" s="447"/>
      <c r="D1" s="448"/>
      <c r="E1" s="449"/>
      <c r="F1" s="450"/>
      <c r="G1" s="451"/>
      <c r="H1" s="452"/>
      <c r="I1" s="452"/>
    </row>
    <row r="2" spans="1:9" s="1" customFormat="1" ht="26.25" customHeight="1" x14ac:dyDescent="0.3">
      <c r="A2" s="871" t="s">
        <v>241</v>
      </c>
      <c r="B2" s="1266"/>
      <c r="C2" s="1267"/>
      <c r="D2" s="1267"/>
      <c r="E2" s="1267"/>
      <c r="F2" s="1267"/>
      <c r="G2" s="453"/>
      <c r="H2" s="452"/>
      <c r="I2" s="452"/>
    </row>
    <row r="3" spans="1:9" s="1" customFormat="1" ht="54" customHeight="1" x14ac:dyDescent="0.2">
      <c r="A3" s="436" t="s">
        <v>242</v>
      </c>
      <c r="B3" s="1273" t="s">
        <v>380</v>
      </c>
      <c r="C3" s="1274"/>
      <c r="D3" s="1274"/>
      <c r="E3" s="1274"/>
      <c r="F3" s="1274"/>
      <c r="G3" s="1274"/>
      <c r="H3" s="1272"/>
      <c r="I3" s="1272"/>
    </row>
    <row r="4" spans="1:9" s="1" customFormat="1" ht="35.25" customHeight="1" x14ac:dyDescent="0.4">
      <c r="A4" s="1268" t="s">
        <v>384</v>
      </c>
      <c r="B4" s="1269"/>
      <c r="C4" s="1270" t="s">
        <v>586</v>
      </c>
      <c r="D4" s="1271"/>
      <c r="E4" s="1271"/>
      <c r="F4" s="1271"/>
      <c r="G4" s="1271"/>
      <c r="H4" s="1272"/>
      <c r="I4" s="526"/>
    </row>
    <row r="5" spans="1:9" x14ac:dyDescent="0.2">
      <c r="B5" s="46"/>
      <c r="C5" s="142"/>
      <c r="H5" s="248" t="s">
        <v>110</v>
      </c>
    </row>
    <row r="6" spans="1:9" s="1" customFormat="1" ht="6" customHeight="1" x14ac:dyDescent="0.2">
      <c r="A6" s="216"/>
      <c r="C6" s="142"/>
      <c r="D6" s="46"/>
      <c r="E6" s="46"/>
      <c r="F6" s="46"/>
    </row>
    <row r="7" spans="1:9" ht="26.25" x14ac:dyDescent="0.4">
      <c r="A7" s="439" t="s">
        <v>130</v>
      </c>
      <c r="B7" s="440"/>
      <c r="C7" s="441"/>
      <c r="D7" s="442"/>
      <c r="E7" s="443"/>
      <c r="F7" s="442"/>
      <c r="G7" s="444"/>
      <c r="H7" s="437"/>
      <c r="I7" s="437"/>
    </row>
    <row r="8" spans="1:9" s="1" customFormat="1" ht="15.75" x14ac:dyDescent="0.25">
      <c r="A8" s="2" t="s">
        <v>132</v>
      </c>
      <c r="B8" s="253" t="s">
        <v>358</v>
      </c>
      <c r="C8" s="196"/>
      <c r="D8" s="23"/>
      <c r="E8" s="23"/>
      <c r="F8" s="23"/>
      <c r="G8" s="23"/>
    </row>
    <row r="9" spans="1:9" s="1" customFormat="1" ht="15.75" x14ac:dyDescent="0.25">
      <c r="A9" s="2" t="s">
        <v>182</v>
      </c>
      <c r="B9" s="254" t="s">
        <v>583</v>
      </c>
      <c r="C9" s="872"/>
      <c r="D9" s="23"/>
      <c r="E9" s="23"/>
      <c r="F9" s="23"/>
      <c r="G9" s="23"/>
    </row>
    <row r="10" spans="1:9" s="1" customFormat="1" ht="15.75" x14ac:dyDescent="0.25">
      <c r="A10" s="2" t="s">
        <v>133</v>
      </c>
      <c r="B10" s="254" t="s">
        <v>412</v>
      </c>
      <c r="C10" s="23"/>
      <c r="D10" s="23"/>
      <c r="E10" s="23"/>
      <c r="F10" s="23"/>
      <c r="G10" s="23"/>
    </row>
    <row r="11" spans="1:9" s="1" customFormat="1" ht="19.5" customHeight="1" x14ac:dyDescent="0.25">
      <c r="A11" s="2" t="s">
        <v>7</v>
      </c>
      <c r="B11" s="456">
        <f>B25</f>
        <v>2000</v>
      </c>
      <c r="C11" s="23" t="s">
        <v>203</v>
      </c>
      <c r="D11" s="190"/>
      <c r="E11" s="54"/>
    </row>
    <row r="12" spans="1:9" s="1" customFormat="1" ht="20.25" customHeight="1" x14ac:dyDescent="0.25">
      <c r="A12" s="2" t="s">
        <v>134</v>
      </c>
      <c r="B12" s="254" t="s">
        <v>3</v>
      </c>
    </row>
    <row r="13" spans="1:9" s="1" customFormat="1" ht="20.25" customHeight="1" x14ac:dyDescent="0.3">
      <c r="A13" s="2" t="s">
        <v>238</v>
      </c>
      <c r="B13" s="1275" t="s">
        <v>603</v>
      </c>
      <c r="C13" s="1275"/>
      <c r="D13" s="1275"/>
      <c r="E13" s="1275"/>
      <c r="F13" s="1275"/>
      <c r="G13" s="1275"/>
      <c r="H13" s="1275"/>
    </row>
    <row r="14" spans="1:9" ht="15.75" x14ac:dyDescent="0.25">
      <c r="A14" s="2" t="s">
        <v>204</v>
      </c>
      <c r="B14" s="106" t="s">
        <v>205</v>
      </c>
      <c r="C14" s="275"/>
      <c r="D14" s="52"/>
      <c r="E14" s="23"/>
      <c r="F14" s="193"/>
      <c r="G14" s="23"/>
    </row>
    <row r="15" spans="1:9" ht="26.25" x14ac:dyDescent="0.25">
      <c r="A15" s="2" t="s">
        <v>194</v>
      </c>
      <c r="B15" s="256" t="s">
        <v>227</v>
      </c>
      <c r="C15" s="282" t="s">
        <v>228</v>
      </c>
      <c r="D15" s="322" t="s">
        <v>249</v>
      </c>
      <c r="E15" s="320" t="s">
        <v>248</v>
      </c>
      <c r="F15" s="321" t="s">
        <v>246</v>
      </c>
      <c r="G15" s="23"/>
    </row>
    <row r="16" spans="1:9" ht="13.5" thickBot="1" x14ac:dyDescent="0.25">
      <c r="A16" s="1"/>
      <c r="B16" s="1"/>
      <c r="C16" s="23"/>
      <c r="D16" s="52"/>
      <c r="E16" s="23"/>
      <c r="F16" s="194"/>
      <c r="G16" s="23"/>
    </row>
    <row r="17" spans="1:6" s="1" customFormat="1" ht="16.5" thickBot="1" x14ac:dyDescent="0.3">
      <c r="A17" s="527" t="s">
        <v>135</v>
      </c>
      <c r="B17" s="531"/>
      <c r="C17" s="531"/>
      <c r="D17" s="205"/>
      <c r="E17" s="46"/>
      <c r="F17" s="46"/>
    </row>
    <row r="18" spans="1:6" s="1" customFormat="1" x14ac:dyDescent="0.2">
      <c r="A18" s="528"/>
      <c r="B18" s="262" t="s">
        <v>179</v>
      </c>
      <c r="C18" s="285" t="s">
        <v>180</v>
      </c>
      <c r="D18" s="205" t="s">
        <v>181</v>
      </c>
      <c r="E18" s="46"/>
      <c r="F18" s="46"/>
    </row>
    <row r="19" spans="1:6" s="1" customFormat="1" x14ac:dyDescent="0.2">
      <c r="A19" s="529" t="s">
        <v>0</v>
      </c>
      <c r="B19" s="264">
        <v>125</v>
      </c>
      <c r="C19" s="286">
        <v>120</v>
      </c>
      <c r="D19" s="460">
        <f>1-(C21/B21)</f>
        <v>9.9999999999999978E-2</v>
      </c>
      <c r="E19" s="46"/>
      <c r="F19" s="46"/>
    </row>
    <row r="20" spans="1:6" s="1" customFormat="1" x14ac:dyDescent="0.2">
      <c r="A20" s="529" t="s">
        <v>1</v>
      </c>
      <c r="B20" s="265">
        <v>80</v>
      </c>
      <c r="C20" s="287">
        <v>75</v>
      </c>
      <c r="D20" s="206"/>
      <c r="E20" s="46"/>
      <c r="F20" s="46"/>
    </row>
    <row r="21" spans="1:6" s="1" customFormat="1" ht="13.5" thickBot="1" x14ac:dyDescent="0.25">
      <c r="A21" s="291" t="s">
        <v>60</v>
      </c>
      <c r="B21" s="457">
        <f>B19*B20</f>
        <v>10000</v>
      </c>
      <c r="C21" s="458">
        <f>C19*C20</f>
        <v>9000</v>
      </c>
      <c r="D21" s="459">
        <f>B21-C21</f>
        <v>1000</v>
      </c>
      <c r="E21" s="46"/>
      <c r="F21" s="46"/>
    </row>
    <row r="22" spans="1:6" s="1" customFormat="1" x14ac:dyDescent="0.2">
      <c r="A22" s="292" t="s">
        <v>4</v>
      </c>
      <c r="B22" s="126"/>
      <c r="C22" s="288">
        <v>3.3</v>
      </c>
      <c r="D22" s="263"/>
      <c r="E22" s="46"/>
      <c r="F22" s="46"/>
    </row>
    <row r="23" spans="1:6" s="1" customFormat="1" x14ac:dyDescent="0.2">
      <c r="A23" s="292" t="s">
        <v>5</v>
      </c>
      <c r="B23" s="126"/>
      <c r="C23" s="1208">
        <v>1.45</v>
      </c>
      <c r="D23" s="263"/>
      <c r="E23" s="46"/>
      <c r="F23" s="46"/>
    </row>
    <row r="24" spans="1:6" s="1" customFormat="1" x14ac:dyDescent="0.2">
      <c r="A24" s="292" t="s">
        <v>6</v>
      </c>
      <c r="B24" s="126"/>
      <c r="C24" s="461">
        <f>ROUND((C20/C22),0)</f>
        <v>23</v>
      </c>
      <c r="D24" s="204"/>
      <c r="E24" s="46"/>
      <c r="F24" s="46"/>
    </row>
    <row r="25" spans="1:6" s="1" customFormat="1" ht="16.5" thickBot="1" x14ac:dyDescent="0.3">
      <c r="A25" s="530" t="s">
        <v>129</v>
      </c>
      <c r="B25" s="532">
        <f>Eingabeseite!D22</f>
        <v>2000</v>
      </c>
      <c r="C25" s="462">
        <f>ROUND(((C19/C23)+1),0)*ROUND(C24,0)</f>
        <v>1932</v>
      </c>
      <c r="D25" s="207"/>
      <c r="E25" s="46"/>
      <c r="F25" s="46"/>
    </row>
    <row r="26" spans="1:6" s="1" customFormat="1" x14ac:dyDescent="0.2">
      <c r="C26" s="23"/>
      <c r="D26" s="46"/>
      <c r="E26" s="46"/>
      <c r="F26" s="46"/>
    </row>
    <row r="27" spans="1:6" s="1" customFormat="1" x14ac:dyDescent="0.2">
      <c r="A27" s="463" t="s">
        <v>79</v>
      </c>
      <c r="B27" s="266">
        <v>20</v>
      </c>
      <c r="C27" s="23"/>
      <c r="D27" s="46"/>
      <c r="E27" s="46"/>
      <c r="F27" s="46"/>
    </row>
    <row r="28" spans="1:6" s="1" customFormat="1" x14ac:dyDescent="0.2">
      <c r="A28" s="464" t="s">
        <v>74</v>
      </c>
      <c r="B28" s="267">
        <v>5</v>
      </c>
      <c r="C28" s="23"/>
      <c r="D28" s="46"/>
      <c r="E28" s="46"/>
      <c r="F28" s="46"/>
    </row>
    <row r="29" spans="1:6" s="1" customFormat="1" x14ac:dyDescent="0.2">
      <c r="A29" s="464" t="s">
        <v>80</v>
      </c>
      <c r="B29" s="476">
        <f>B27-B28</f>
        <v>15</v>
      </c>
      <c r="C29" s="23"/>
      <c r="D29" s="46"/>
      <c r="E29" s="46"/>
      <c r="F29" s="46"/>
    </row>
    <row r="30" spans="1:6" s="1" customFormat="1" ht="15.75" x14ac:dyDescent="0.25">
      <c r="A30" s="465" t="s">
        <v>206</v>
      </c>
      <c r="B30" s="477">
        <f>B29</f>
        <v>15</v>
      </c>
      <c r="C30" s="23"/>
      <c r="D30" s="46"/>
      <c r="E30" s="46"/>
      <c r="F30" s="46"/>
    </row>
    <row r="31" spans="1:6" s="1" customFormat="1" x14ac:dyDescent="0.2">
      <c r="C31" s="23"/>
      <c r="D31" s="46"/>
      <c r="E31" s="46"/>
      <c r="F31" s="46"/>
    </row>
    <row r="32" spans="1:6" s="1" customFormat="1" x14ac:dyDescent="0.2">
      <c r="A32" s="3" t="s">
        <v>8</v>
      </c>
      <c r="B32" s="99" t="s">
        <v>127</v>
      </c>
      <c r="C32" s="533">
        <f>Eingabeseite!D23</f>
        <v>10</v>
      </c>
      <c r="D32" s="106" t="s">
        <v>421</v>
      </c>
    </row>
    <row r="33" spans="1:14" s="1" customFormat="1" x14ac:dyDescent="0.2">
      <c r="A33" s="3" t="s">
        <v>85</v>
      </c>
      <c r="B33" s="99" t="s">
        <v>413</v>
      </c>
      <c r="C33" s="534">
        <f>Eingabeseite!D16</f>
        <v>41.4</v>
      </c>
      <c r="D33" s="106"/>
    </row>
    <row r="34" spans="1:14" s="1" customFormat="1" ht="12.75" customHeight="1" x14ac:dyDescent="0.25">
      <c r="B34" t="s">
        <v>116</v>
      </c>
      <c r="C34" s="534">
        <f>Eingabeseite!D17</f>
        <v>24</v>
      </c>
      <c r="D34"/>
      <c r="E34"/>
      <c r="F34"/>
      <c r="M34" s="188"/>
    </row>
    <row r="35" spans="1:14" s="1" customFormat="1" ht="12.75" customHeight="1" thickBot="1" x14ac:dyDescent="0.25">
      <c r="B35" s="1" t="s">
        <v>128</v>
      </c>
      <c r="C35" s="535">
        <f>Eingabeseite!D18</f>
        <v>21.5</v>
      </c>
      <c r="D35" s="187" t="s">
        <v>201</v>
      </c>
      <c r="F35" s="257">
        <f>Eingabeseite!D19</f>
        <v>0.85</v>
      </c>
      <c r="G35" s="222"/>
      <c r="N35" s="17"/>
    </row>
    <row r="36" spans="1:14" s="1" customFormat="1" x14ac:dyDescent="0.2">
      <c r="B36" s="1" t="s">
        <v>414</v>
      </c>
      <c r="C36" s="846">
        <f>(F35*C35)+(((1-F35)/2)*C34)+ (((1-F35)/2)*C33)</f>
        <v>23.18</v>
      </c>
      <c r="D36" s="12"/>
      <c r="E36" s="46"/>
      <c r="F36" s="46"/>
      <c r="N36" s="17"/>
    </row>
    <row r="37" spans="1:14" s="1" customFormat="1" x14ac:dyDescent="0.2">
      <c r="B37" s="1" t="s">
        <v>415</v>
      </c>
      <c r="C37" s="846">
        <f>AVERAGE(C33:C34)</f>
        <v>32.700000000000003</v>
      </c>
      <c r="D37" s="12"/>
      <c r="E37" s="46"/>
      <c r="F37" s="46"/>
      <c r="N37" s="17"/>
    </row>
    <row r="38" spans="1:14" s="1" customFormat="1" x14ac:dyDescent="0.2">
      <c r="B38"/>
      <c r="C38" s="142"/>
      <c r="D38" s="12"/>
      <c r="E38" s="46"/>
      <c r="F38" s="46"/>
      <c r="N38" s="17"/>
    </row>
    <row r="39" spans="1:14" s="1" customFormat="1" x14ac:dyDescent="0.2">
      <c r="A39" s="125" t="s">
        <v>131</v>
      </c>
      <c r="C39" s="258">
        <v>6000</v>
      </c>
      <c r="E39" s="106" t="s">
        <v>471</v>
      </c>
      <c r="F39" s="468" t="s">
        <v>237</v>
      </c>
      <c r="G39" s="1025">
        <v>325</v>
      </c>
      <c r="M39" s="23"/>
      <c r="N39" s="17"/>
    </row>
    <row r="40" spans="1:14" s="1" customFormat="1" x14ac:dyDescent="0.2">
      <c r="A40" s="52" t="s">
        <v>83</v>
      </c>
      <c r="C40" s="858">
        <v>1100</v>
      </c>
      <c r="F40" s="1" t="str">
        <f>D15</f>
        <v>Mostobst total</v>
      </c>
      <c r="G40" s="261">
        <v>1</v>
      </c>
      <c r="M40"/>
      <c r="N40" s="17"/>
    </row>
    <row r="41" spans="1:14" s="1" customFormat="1" x14ac:dyDescent="0.2">
      <c r="A41" s="52" t="s">
        <v>10</v>
      </c>
      <c r="C41" s="536">
        <f>Eingabeseite!D29</f>
        <v>1.4999999999999999E-2</v>
      </c>
      <c r="N41" s="17"/>
    </row>
    <row r="42" spans="1:14" x14ac:dyDescent="0.2">
      <c r="A42" s="1" t="s">
        <v>163</v>
      </c>
      <c r="C42" s="175">
        <v>0.6</v>
      </c>
      <c r="E42" s="466" t="s">
        <v>84</v>
      </c>
      <c r="F42" s="468" t="str">
        <f>F39</f>
        <v>Klasse I+II</v>
      </c>
      <c r="G42" s="261">
        <v>0</v>
      </c>
    </row>
    <row r="43" spans="1:14" x14ac:dyDescent="0.2">
      <c r="A43" s="106" t="s">
        <v>156</v>
      </c>
      <c r="C43" s="260">
        <v>660</v>
      </c>
      <c r="E43" s="466" t="s">
        <v>236</v>
      </c>
      <c r="F43" s="469" t="str">
        <f>F39</f>
        <v>Klasse I+II</v>
      </c>
      <c r="G43" s="313">
        <v>0</v>
      </c>
    </row>
    <row r="44" spans="1:14" x14ac:dyDescent="0.2">
      <c r="A44" s="64"/>
      <c r="C44" s="225"/>
      <c r="E44" s="46"/>
      <c r="F44" s="187" t="s">
        <v>245</v>
      </c>
      <c r="G44" s="313">
        <v>0</v>
      </c>
    </row>
    <row r="45" spans="1:14" s="1" customFormat="1" ht="26.25" x14ac:dyDescent="0.4">
      <c r="A45" s="439" t="s">
        <v>149</v>
      </c>
      <c r="B45" s="470"/>
      <c r="C45" s="471"/>
      <c r="D45" s="472"/>
      <c r="E45" s="473"/>
      <c r="F45" s="474"/>
      <c r="G45" s="475"/>
      <c r="H45" s="437"/>
      <c r="I45" s="437"/>
      <c r="M45" s="23"/>
      <c r="N45" s="17"/>
    </row>
    <row r="46" spans="1:14" s="1" customFormat="1" x14ac:dyDescent="0.2">
      <c r="A46" s="112" t="s">
        <v>150</v>
      </c>
      <c r="B46" s="310" t="str">
        <f>B15</f>
        <v>Klasse I</v>
      </c>
      <c r="C46" s="122" t="str">
        <f>C15</f>
        <v>Klasse II</v>
      </c>
      <c r="D46" s="49" t="str">
        <f>D15</f>
        <v>Mostobst total</v>
      </c>
      <c r="E46" s="112" t="s">
        <v>36</v>
      </c>
      <c r="F46" s="112" t="s">
        <v>37</v>
      </c>
      <c r="G46" s="112" t="s">
        <v>150</v>
      </c>
      <c r="M46" s="23"/>
      <c r="N46" s="17"/>
    </row>
    <row r="47" spans="1:14" s="1" customFormat="1" x14ac:dyDescent="0.2">
      <c r="A47" s="237" t="s">
        <v>484</v>
      </c>
      <c r="B47" s="213">
        <f>Eingabeseite!D6</f>
        <v>1.22</v>
      </c>
      <c r="C47" s="867">
        <f>Eingabeseite!D7</f>
        <v>0.4</v>
      </c>
      <c r="D47" s="501">
        <f>Eingabeseite!D8</f>
        <v>0</v>
      </c>
      <c r="E47" s="868">
        <f>'Standard Vorgaben'!E48*(1+Eingabeseite!$C$13)</f>
        <v>0</v>
      </c>
      <c r="F47" s="503">
        <f>E47/'Variante Vorgaben'!$B$25</f>
        <v>0</v>
      </c>
      <c r="G47" s="157">
        <v>1</v>
      </c>
      <c r="H47" s="181"/>
      <c r="I47" s="425"/>
      <c r="M47" s="23"/>
      <c r="N47" s="17"/>
    </row>
    <row r="48" spans="1:14" s="1" customFormat="1" x14ac:dyDescent="0.2">
      <c r="A48" s="237">
        <v>2</v>
      </c>
      <c r="B48" s="213">
        <f t="shared" ref="B48:C60" si="0">B47</f>
        <v>1.22</v>
      </c>
      <c r="C48" s="213">
        <f t="shared" si="0"/>
        <v>0.4</v>
      </c>
      <c r="D48" s="501">
        <f t="shared" ref="D48:D66" si="1">$D$47</f>
        <v>0</v>
      </c>
      <c r="E48" s="868">
        <f>'Standard Vorgaben'!E49*(1+Eingabeseite!$C$13)</f>
        <v>3000</v>
      </c>
      <c r="F48" s="503">
        <f>E48/'Variante Vorgaben'!$B$25</f>
        <v>1.5</v>
      </c>
      <c r="G48" s="157">
        <v>2</v>
      </c>
      <c r="H48" s="181"/>
      <c r="I48" s="425"/>
      <c r="M48" s="23"/>
      <c r="N48" s="17"/>
    </row>
    <row r="49" spans="1:14" s="1" customFormat="1" x14ac:dyDescent="0.2">
      <c r="A49" s="237">
        <v>3</v>
      </c>
      <c r="B49" s="213">
        <f t="shared" si="0"/>
        <v>1.22</v>
      </c>
      <c r="C49" s="213">
        <f t="shared" si="0"/>
        <v>0.4</v>
      </c>
      <c r="D49" s="501">
        <f t="shared" si="1"/>
        <v>0</v>
      </c>
      <c r="E49" s="868">
        <f>'Standard Vorgaben'!E50*(1+Eingabeseite!$C$13)</f>
        <v>5000</v>
      </c>
      <c r="F49" s="503">
        <f>E49/'Variante Vorgaben'!$B$25</f>
        <v>2.5</v>
      </c>
      <c r="G49" s="157">
        <v>3</v>
      </c>
      <c r="H49" s="181"/>
      <c r="I49" s="425"/>
      <c r="M49" s="23"/>
      <c r="N49" s="17"/>
    </row>
    <row r="50" spans="1:14" s="1" customFormat="1" x14ac:dyDescent="0.2">
      <c r="A50" s="311">
        <v>4</v>
      </c>
      <c r="B50" s="213">
        <f t="shared" si="0"/>
        <v>1.22</v>
      </c>
      <c r="C50" s="213">
        <f t="shared" si="0"/>
        <v>0.4</v>
      </c>
      <c r="D50" s="501">
        <f t="shared" si="1"/>
        <v>0</v>
      </c>
      <c r="E50" s="868">
        <f>'Standard Vorgaben'!E51*(1+Eingabeseite!$C$13)</f>
        <v>10000</v>
      </c>
      <c r="F50" s="503">
        <f>E50/'Variante Vorgaben'!$B$25</f>
        <v>5</v>
      </c>
      <c r="G50" s="157">
        <v>4</v>
      </c>
      <c r="H50" s="181"/>
      <c r="I50" s="425"/>
      <c r="M50" s="23"/>
      <c r="N50" s="17"/>
    </row>
    <row r="51" spans="1:14" s="1" customFormat="1" x14ac:dyDescent="0.2">
      <c r="A51" s="311">
        <v>5</v>
      </c>
      <c r="B51" s="213">
        <f t="shared" si="0"/>
        <v>1.22</v>
      </c>
      <c r="C51" s="213">
        <f t="shared" si="0"/>
        <v>0.4</v>
      </c>
      <c r="D51" s="501">
        <f t="shared" si="1"/>
        <v>0</v>
      </c>
      <c r="E51" s="868">
        <f>'Standard Vorgaben'!E52*(1+Eingabeseite!$C$13)</f>
        <v>20000</v>
      </c>
      <c r="F51" s="503">
        <f>E51/'Variante Vorgaben'!$B$25</f>
        <v>10</v>
      </c>
      <c r="G51" s="157">
        <v>5</v>
      </c>
      <c r="H51" s="181"/>
      <c r="I51" s="425"/>
      <c r="M51" s="23"/>
      <c r="N51" s="17"/>
    </row>
    <row r="52" spans="1:14" s="1" customFormat="1" x14ac:dyDescent="0.2">
      <c r="A52" s="311">
        <v>6</v>
      </c>
      <c r="B52" s="62">
        <f t="shared" si="0"/>
        <v>1.22</v>
      </c>
      <c r="C52" s="62">
        <f t="shared" si="0"/>
        <v>0.4</v>
      </c>
      <c r="D52" s="46">
        <f t="shared" si="1"/>
        <v>0</v>
      </c>
      <c r="E52" s="181">
        <f>'Standard Vorgaben'!E53*(1+Eingabeseite!$C$13)</f>
        <v>32000</v>
      </c>
      <c r="F52" s="47">
        <f>E52/'Variante Vorgaben'!$B$25</f>
        <v>16</v>
      </c>
      <c r="G52" s="157">
        <v>6</v>
      </c>
      <c r="H52" s="181"/>
      <c r="I52" s="425"/>
      <c r="M52" s="23"/>
      <c r="N52" s="17"/>
    </row>
    <row r="53" spans="1:14" s="1" customFormat="1" x14ac:dyDescent="0.2">
      <c r="A53" s="311">
        <v>7</v>
      </c>
      <c r="B53" s="62">
        <f t="shared" si="0"/>
        <v>1.22</v>
      </c>
      <c r="C53" s="62">
        <f t="shared" si="0"/>
        <v>0.4</v>
      </c>
      <c r="D53" s="46">
        <f t="shared" si="1"/>
        <v>0</v>
      </c>
      <c r="E53" s="181">
        <f>'Standard Vorgaben'!E54*(1+Eingabeseite!$C$13)</f>
        <v>32000</v>
      </c>
      <c r="F53" s="47">
        <f>E53/'Variante Vorgaben'!$B$25</f>
        <v>16</v>
      </c>
      <c r="G53" s="157">
        <v>7</v>
      </c>
      <c r="H53" s="181"/>
      <c r="I53" s="425"/>
      <c r="M53" s="23"/>
      <c r="N53" s="17"/>
    </row>
    <row r="54" spans="1:14" s="1" customFormat="1" x14ac:dyDescent="0.2">
      <c r="A54" s="311">
        <v>8</v>
      </c>
      <c r="B54" s="62">
        <f t="shared" si="0"/>
        <v>1.22</v>
      </c>
      <c r="C54" s="62">
        <f t="shared" si="0"/>
        <v>0.4</v>
      </c>
      <c r="D54" s="46">
        <f t="shared" si="1"/>
        <v>0</v>
      </c>
      <c r="E54" s="181">
        <f>'Standard Vorgaben'!E55*(1+Eingabeseite!$C$13)</f>
        <v>32000</v>
      </c>
      <c r="F54" s="47">
        <f>E54/'Variante Vorgaben'!$B$25</f>
        <v>16</v>
      </c>
      <c r="G54" s="157">
        <v>8</v>
      </c>
      <c r="H54" s="181"/>
      <c r="I54" s="425"/>
      <c r="M54" s="23"/>
      <c r="N54" s="17"/>
    </row>
    <row r="55" spans="1:14" s="1" customFormat="1" x14ac:dyDescent="0.2">
      <c r="A55" s="311">
        <v>9</v>
      </c>
      <c r="B55" s="62">
        <f t="shared" si="0"/>
        <v>1.22</v>
      </c>
      <c r="C55" s="62">
        <f t="shared" si="0"/>
        <v>0.4</v>
      </c>
      <c r="D55" s="46">
        <f t="shared" si="1"/>
        <v>0</v>
      </c>
      <c r="E55" s="181">
        <f>'Standard Vorgaben'!E56*(1+Eingabeseite!$C$13)</f>
        <v>32000</v>
      </c>
      <c r="F55" s="47">
        <f>E55/'Variante Vorgaben'!$B$25</f>
        <v>16</v>
      </c>
      <c r="G55" s="157">
        <v>9</v>
      </c>
      <c r="H55" s="181"/>
      <c r="I55" s="425"/>
      <c r="M55" s="23"/>
      <c r="N55" s="17"/>
    </row>
    <row r="56" spans="1:14" s="1" customFormat="1" x14ac:dyDescent="0.2">
      <c r="A56" s="311">
        <v>10</v>
      </c>
      <c r="B56" s="62">
        <f t="shared" si="0"/>
        <v>1.22</v>
      </c>
      <c r="C56" s="62">
        <f t="shared" si="0"/>
        <v>0.4</v>
      </c>
      <c r="D56" s="46">
        <f t="shared" si="1"/>
        <v>0</v>
      </c>
      <c r="E56" s="181">
        <f>'Standard Vorgaben'!E57*(1+Eingabeseite!$C$13)</f>
        <v>32000</v>
      </c>
      <c r="F56" s="47">
        <f>E56/'Variante Vorgaben'!$B$25</f>
        <v>16</v>
      </c>
      <c r="G56" s="157">
        <v>10</v>
      </c>
      <c r="H56" s="181"/>
      <c r="I56" s="425"/>
      <c r="M56" s="23"/>
      <c r="N56" s="17"/>
    </row>
    <row r="57" spans="1:14" s="1" customFormat="1" x14ac:dyDescent="0.2">
      <c r="A57" s="311">
        <v>11</v>
      </c>
      <c r="B57" s="62">
        <f t="shared" si="0"/>
        <v>1.22</v>
      </c>
      <c r="C57" s="62">
        <f t="shared" si="0"/>
        <v>0.4</v>
      </c>
      <c r="D57" s="46">
        <f t="shared" si="1"/>
        <v>0</v>
      </c>
      <c r="E57" s="181">
        <f>'Standard Vorgaben'!E58*(1+Eingabeseite!$C$13)</f>
        <v>32000</v>
      </c>
      <c r="F57" s="47">
        <f>E57/'Variante Vorgaben'!$B$25</f>
        <v>16</v>
      </c>
      <c r="G57" s="157">
        <v>11</v>
      </c>
      <c r="H57" s="181"/>
      <c r="I57" s="425"/>
      <c r="M57" s="23"/>
      <c r="N57" s="17"/>
    </row>
    <row r="58" spans="1:14" s="1" customFormat="1" x14ac:dyDescent="0.2">
      <c r="A58" s="311">
        <v>12</v>
      </c>
      <c r="B58" s="62">
        <f t="shared" si="0"/>
        <v>1.22</v>
      </c>
      <c r="C58" s="62">
        <f t="shared" si="0"/>
        <v>0.4</v>
      </c>
      <c r="D58" s="46">
        <f t="shared" si="1"/>
        <v>0</v>
      </c>
      <c r="E58" s="181">
        <f>'Standard Vorgaben'!E59*(1+Eingabeseite!$C$13)</f>
        <v>32000</v>
      </c>
      <c r="F58" s="47">
        <f>E58/'Variante Vorgaben'!$B$25</f>
        <v>16</v>
      </c>
      <c r="G58" s="157">
        <v>12</v>
      </c>
      <c r="H58" s="181"/>
      <c r="I58" s="425"/>
      <c r="M58" s="23"/>
      <c r="N58" s="17"/>
    </row>
    <row r="59" spans="1:14" s="1" customFormat="1" x14ac:dyDescent="0.2">
      <c r="A59" s="311">
        <v>13</v>
      </c>
      <c r="B59" s="62">
        <f t="shared" si="0"/>
        <v>1.22</v>
      </c>
      <c r="C59" s="62">
        <f t="shared" si="0"/>
        <v>0.4</v>
      </c>
      <c r="D59" s="46">
        <f t="shared" si="1"/>
        <v>0</v>
      </c>
      <c r="E59" s="181">
        <f>'Standard Vorgaben'!E60*(1+Eingabeseite!$C$13)</f>
        <v>32000</v>
      </c>
      <c r="F59" s="47">
        <f>E59/'Variante Vorgaben'!$B$25</f>
        <v>16</v>
      </c>
      <c r="G59" s="157">
        <v>13</v>
      </c>
      <c r="H59" s="181"/>
      <c r="I59" s="425"/>
      <c r="M59" s="23"/>
      <c r="N59" s="17"/>
    </row>
    <row r="60" spans="1:14" s="1" customFormat="1" x14ac:dyDescent="0.2">
      <c r="A60" s="311">
        <v>14</v>
      </c>
      <c r="B60" s="62">
        <f t="shared" si="0"/>
        <v>1.22</v>
      </c>
      <c r="C60" s="62">
        <f t="shared" si="0"/>
        <v>0.4</v>
      </c>
      <c r="D60" s="46">
        <f t="shared" si="1"/>
        <v>0</v>
      </c>
      <c r="E60" s="181">
        <f>'Standard Vorgaben'!E61*(1+Eingabeseite!$C$13)</f>
        <v>32000</v>
      </c>
      <c r="F60" s="47">
        <f>E60/'Variante Vorgaben'!$B$25</f>
        <v>16</v>
      </c>
      <c r="G60" s="157">
        <v>14</v>
      </c>
      <c r="H60" s="181"/>
      <c r="I60" s="425"/>
      <c r="M60" s="23"/>
      <c r="N60" s="17"/>
    </row>
    <row r="61" spans="1:14" s="1" customFormat="1" x14ac:dyDescent="0.2">
      <c r="A61" s="311">
        <v>15</v>
      </c>
      <c r="B61" s="62">
        <f t="shared" ref="B61:C66" si="2">B60</f>
        <v>1.22</v>
      </c>
      <c r="C61" s="62">
        <f t="shared" si="2"/>
        <v>0.4</v>
      </c>
      <c r="D61" s="46">
        <f t="shared" si="1"/>
        <v>0</v>
      </c>
      <c r="E61" s="181">
        <f>'Standard Vorgaben'!E62*(1+Eingabeseite!$C$13)</f>
        <v>32000</v>
      </c>
      <c r="F61" s="47">
        <f>E61/'Variante Vorgaben'!$B$25</f>
        <v>16</v>
      </c>
      <c r="G61" s="157">
        <v>15</v>
      </c>
      <c r="H61" s="181"/>
      <c r="I61" s="425"/>
      <c r="M61" s="23"/>
      <c r="N61" s="17"/>
    </row>
    <row r="62" spans="1:14" s="1" customFormat="1" x14ac:dyDescent="0.2">
      <c r="A62" s="311">
        <v>16</v>
      </c>
      <c r="B62" s="62">
        <f t="shared" si="2"/>
        <v>1.22</v>
      </c>
      <c r="C62" s="62">
        <f t="shared" si="2"/>
        <v>0.4</v>
      </c>
      <c r="D62" s="46">
        <f t="shared" si="1"/>
        <v>0</v>
      </c>
      <c r="E62" s="181">
        <f>'Standard Vorgaben'!E63*(1+Eingabeseite!$C$13)</f>
        <v>32000</v>
      </c>
      <c r="F62" s="47">
        <f>E62/'Variante Vorgaben'!$B$25</f>
        <v>16</v>
      </c>
      <c r="G62" s="157">
        <v>16</v>
      </c>
      <c r="H62" s="181"/>
      <c r="I62" s="425"/>
      <c r="M62" s="23"/>
      <c r="N62" s="17"/>
    </row>
    <row r="63" spans="1:14" s="1" customFormat="1" x14ac:dyDescent="0.2">
      <c r="A63" s="311">
        <v>17</v>
      </c>
      <c r="B63" s="62">
        <f t="shared" si="2"/>
        <v>1.22</v>
      </c>
      <c r="C63" s="62">
        <f t="shared" si="2"/>
        <v>0.4</v>
      </c>
      <c r="D63" s="46">
        <f t="shared" si="1"/>
        <v>0</v>
      </c>
      <c r="E63" s="181">
        <f>'Standard Vorgaben'!E64*(1+Eingabeseite!$C$13)</f>
        <v>32000</v>
      </c>
      <c r="F63" s="47">
        <f>E63/'Variante Vorgaben'!$B$25</f>
        <v>16</v>
      </c>
      <c r="G63" s="157">
        <v>17</v>
      </c>
      <c r="H63" s="181"/>
      <c r="I63" s="425"/>
      <c r="M63" s="23"/>
      <c r="N63" s="17"/>
    </row>
    <row r="64" spans="1:14" s="1" customFormat="1" x14ac:dyDescent="0.2">
      <c r="A64" s="311">
        <v>18</v>
      </c>
      <c r="B64" s="62">
        <f t="shared" si="2"/>
        <v>1.22</v>
      </c>
      <c r="C64" s="62">
        <f t="shared" si="2"/>
        <v>0.4</v>
      </c>
      <c r="D64" s="46">
        <f t="shared" si="1"/>
        <v>0</v>
      </c>
      <c r="E64" s="181">
        <f>'Standard Vorgaben'!E65*(1+Eingabeseite!$C$13)</f>
        <v>32000</v>
      </c>
      <c r="F64" s="47">
        <f>E64/'Variante Vorgaben'!$B$25</f>
        <v>16</v>
      </c>
      <c r="G64" s="157">
        <v>18</v>
      </c>
      <c r="H64" s="181"/>
      <c r="I64" s="425"/>
      <c r="M64" s="23"/>
      <c r="N64" s="17"/>
    </row>
    <row r="65" spans="1:14" s="1" customFormat="1" x14ac:dyDescent="0.2">
      <c r="A65" s="311">
        <v>19</v>
      </c>
      <c r="B65" s="62">
        <f t="shared" si="2"/>
        <v>1.22</v>
      </c>
      <c r="C65" s="62">
        <f t="shared" si="2"/>
        <v>0.4</v>
      </c>
      <c r="D65" s="46">
        <f t="shared" si="1"/>
        <v>0</v>
      </c>
      <c r="E65" s="181">
        <f>'Standard Vorgaben'!E66*(1+Eingabeseite!$C$13)</f>
        <v>32000</v>
      </c>
      <c r="F65" s="47">
        <f>E65/'Variante Vorgaben'!$B$25</f>
        <v>16</v>
      </c>
      <c r="G65" s="157">
        <v>19</v>
      </c>
      <c r="H65" s="181"/>
      <c r="I65" s="425"/>
      <c r="M65" s="23"/>
      <c r="N65" s="17"/>
    </row>
    <row r="66" spans="1:14" s="1" customFormat="1" x14ac:dyDescent="0.2">
      <c r="A66" s="311">
        <v>20</v>
      </c>
      <c r="B66" s="62">
        <f t="shared" si="2"/>
        <v>1.22</v>
      </c>
      <c r="C66" s="62">
        <f t="shared" si="2"/>
        <v>0.4</v>
      </c>
      <c r="D66" s="46">
        <f t="shared" si="1"/>
        <v>0</v>
      </c>
      <c r="E66" s="181">
        <f>'Standard Vorgaben'!E67*(1+Eingabeseite!$C$13)</f>
        <v>32000</v>
      </c>
      <c r="F66" s="47">
        <f>E66/'Variante Vorgaben'!$B$25</f>
        <v>16</v>
      </c>
      <c r="G66" s="157">
        <v>20</v>
      </c>
      <c r="H66" s="181"/>
      <c r="I66" s="425"/>
      <c r="M66" s="23"/>
      <c r="N66" s="17"/>
    </row>
    <row r="67" spans="1:14" s="1" customFormat="1" x14ac:dyDescent="0.2">
      <c r="A67" s="70" t="s">
        <v>229</v>
      </c>
      <c r="E67" s="93">
        <f>SUM(E47:E49)</f>
        <v>8000</v>
      </c>
      <c r="F67" s="93">
        <f>SUM(F47:F49)</f>
        <v>4</v>
      </c>
      <c r="M67" s="23"/>
      <c r="N67" s="17"/>
    </row>
    <row r="68" spans="1:14" s="1" customFormat="1" x14ac:dyDescent="0.2">
      <c r="A68" s="70" t="s">
        <v>230</v>
      </c>
      <c r="E68" s="93">
        <f>SUM(E47:E66)</f>
        <v>518000</v>
      </c>
      <c r="F68" s="93">
        <f>SUM(F47:F66)</f>
        <v>259</v>
      </c>
      <c r="M68" s="23"/>
      <c r="N68" s="17"/>
    </row>
    <row r="69" spans="1:14" s="1" customFormat="1" x14ac:dyDescent="0.2">
      <c r="A69" s="70" t="s">
        <v>231</v>
      </c>
      <c r="B69" s="478">
        <f>AVERAGE(B50:B66)</f>
        <v>1.22</v>
      </c>
      <c r="C69" s="478">
        <f>AVERAGE(C50:C66)</f>
        <v>0.40000000000000008</v>
      </c>
      <c r="D69" s="478">
        <f>AVERAGE(D50:D66)</f>
        <v>0</v>
      </c>
      <c r="E69" s="93">
        <f>AVERAGE(E52:E66)</f>
        <v>32000</v>
      </c>
      <c r="F69" s="93">
        <f>AVERAGE(F50:F66)</f>
        <v>15</v>
      </c>
      <c r="M69" s="23"/>
      <c r="N69" s="17"/>
    </row>
    <row r="70" spans="1:14" s="1" customFormat="1" x14ac:dyDescent="0.2">
      <c r="A70" s="70" t="s">
        <v>232</v>
      </c>
      <c r="B70" s="478">
        <f>AVERAGE(B47:B66)</f>
        <v>1.2199999999999998</v>
      </c>
      <c r="C70" s="478">
        <f>AVERAGE(C47:C66)</f>
        <v>0.40000000000000008</v>
      </c>
      <c r="D70" s="478">
        <f>AVERAGE(D47:D66)</f>
        <v>0</v>
      </c>
      <c r="E70" s="93">
        <f>AVERAGE(E47:E66)</f>
        <v>25900</v>
      </c>
      <c r="F70" s="93">
        <f>AVERAGE(F47:F66)</f>
        <v>12.95</v>
      </c>
      <c r="M70" s="23"/>
      <c r="N70" s="17"/>
    </row>
    <row r="71" spans="1:14" s="1" customFormat="1" x14ac:dyDescent="0.2">
      <c r="B71" s="108"/>
      <c r="C71" s="108"/>
      <c r="D71" s="108"/>
      <c r="E71" s="93"/>
      <c r="F71" s="109"/>
      <c r="M71" s="23"/>
      <c r="N71" s="17"/>
    </row>
    <row r="72" spans="1:14" s="1" customFormat="1" ht="26.25" x14ac:dyDescent="0.4">
      <c r="A72" s="439" t="s">
        <v>148</v>
      </c>
      <c r="B72" s="470"/>
      <c r="C72" s="471"/>
      <c r="D72" s="472"/>
      <c r="E72" s="473"/>
      <c r="F72" s="474"/>
      <c r="G72" s="475"/>
      <c r="H72" s="437"/>
      <c r="I72" s="437"/>
      <c r="M72" s="23"/>
      <c r="N72" s="17"/>
    </row>
    <row r="73" spans="1:14" s="1" customFormat="1" ht="25.5" x14ac:dyDescent="0.2">
      <c r="A73" s="111" t="s">
        <v>150</v>
      </c>
      <c r="B73" s="310" t="str">
        <f>B15</f>
        <v>Klasse I</v>
      </c>
      <c r="C73" s="122" t="str">
        <f>C15</f>
        <v>Klasse II</v>
      </c>
      <c r="D73" s="538" t="str">
        <f>E15</f>
        <v>Mostobst Sortierabgang</v>
      </c>
      <c r="E73" s="539" t="str">
        <f>F15</f>
        <v>Mostobst ab Boden</v>
      </c>
      <c r="F73" s="49" t="str">
        <f>D15</f>
        <v>Mostobst total</v>
      </c>
      <c r="G73" s="874" t="s">
        <v>247</v>
      </c>
      <c r="H73" s="537"/>
      <c r="I73" s="203"/>
      <c r="M73" s="23"/>
      <c r="N73" s="17"/>
    </row>
    <row r="74" spans="1:14" s="1" customFormat="1" x14ac:dyDescent="0.2">
      <c r="A74" s="70"/>
      <c r="B74" s="113"/>
      <c r="C74" s="113"/>
      <c r="D74" s="171"/>
      <c r="E74" s="171"/>
      <c r="F74" s="171"/>
      <c r="G74" s="122" t="s">
        <v>63</v>
      </c>
      <c r="H74" s="122"/>
      <c r="I74" s="238"/>
      <c r="M74" s="23"/>
      <c r="N74" s="17"/>
    </row>
    <row r="75" spans="1:14" s="1" customFormat="1" x14ac:dyDescent="0.2">
      <c r="A75" s="237">
        <v>1</v>
      </c>
      <c r="B75" s="202">
        <f>Eingabeseite!D9</f>
        <v>0.7</v>
      </c>
      <c r="C75" s="202">
        <f>Eingabeseite!D10</f>
        <v>0.05</v>
      </c>
      <c r="D75" s="202">
        <f>Eingabeseite!D11</f>
        <v>0.1</v>
      </c>
      <c r="E75" s="202">
        <f>Eingabeseite!D12</f>
        <v>0.15</v>
      </c>
      <c r="F75" s="132">
        <f>D75+E75</f>
        <v>0.25</v>
      </c>
      <c r="G75" s="481">
        <f>'Standard Vorgaben'!G76*(1+Eingabeseite!$C$15)</f>
        <v>125</v>
      </c>
      <c r="H75" s="481"/>
      <c r="I75" s="157"/>
      <c r="M75" s="23"/>
      <c r="N75" s="17"/>
    </row>
    <row r="76" spans="1:14" s="1" customFormat="1" x14ac:dyDescent="0.2">
      <c r="A76" s="237">
        <v>2</v>
      </c>
      <c r="B76" s="202">
        <f>B75</f>
        <v>0.7</v>
      </c>
      <c r="C76" s="202">
        <f>C75</f>
        <v>0.05</v>
      </c>
      <c r="D76" s="202">
        <f>D75</f>
        <v>0.1</v>
      </c>
      <c r="E76" s="202">
        <f>E75</f>
        <v>0.15</v>
      </c>
      <c r="F76" s="307">
        <f t="shared" ref="F76:F94" si="3">$F$75</f>
        <v>0.25</v>
      </c>
      <c r="G76" s="481">
        <f>'Standard Vorgaben'!G77*(1+Eingabeseite!$C$15)</f>
        <v>125</v>
      </c>
      <c r="H76" s="481"/>
      <c r="I76" s="157"/>
      <c r="M76" s="23"/>
      <c r="N76" s="17"/>
    </row>
    <row r="77" spans="1:14" s="1" customFormat="1" x14ac:dyDescent="0.2">
      <c r="A77" s="237">
        <v>3</v>
      </c>
      <c r="B77" s="202">
        <f>B75</f>
        <v>0.7</v>
      </c>
      <c r="C77" s="202">
        <f>C75</f>
        <v>0.05</v>
      </c>
      <c r="D77" s="202">
        <f>D75</f>
        <v>0.1</v>
      </c>
      <c r="E77" s="202">
        <f>E75</f>
        <v>0.15</v>
      </c>
      <c r="F77" s="307">
        <f t="shared" si="3"/>
        <v>0.25</v>
      </c>
      <c r="G77" s="481">
        <f>'Standard Vorgaben'!G78*(1+Eingabeseite!$C$15)</f>
        <v>125</v>
      </c>
      <c r="H77" s="481"/>
      <c r="I77" s="157"/>
      <c r="M77" s="23"/>
      <c r="N77" s="17"/>
    </row>
    <row r="78" spans="1:14" s="1" customFormat="1" x14ac:dyDescent="0.2">
      <c r="A78" s="237">
        <v>4</v>
      </c>
      <c r="B78" s="202">
        <f>B75</f>
        <v>0.7</v>
      </c>
      <c r="C78" s="202">
        <f>C75</f>
        <v>0.05</v>
      </c>
      <c r="D78" s="202">
        <f>D75</f>
        <v>0.1</v>
      </c>
      <c r="E78" s="202">
        <f>E75</f>
        <v>0.15</v>
      </c>
      <c r="F78" s="307">
        <f t="shared" si="3"/>
        <v>0.25</v>
      </c>
      <c r="G78" s="481">
        <f>'Standard Vorgaben'!G79*(1+Eingabeseite!$C$15)</f>
        <v>125</v>
      </c>
      <c r="H78" s="481"/>
      <c r="I78" s="157"/>
      <c r="M78" s="23"/>
      <c r="N78" s="17"/>
    </row>
    <row r="79" spans="1:14" s="1" customFormat="1" ht="15.75" x14ac:dyDescent="0.25">
      <c r="A79" s="64">
        <v>5</v>
      </c>
      <c r="B79" s="202">
        <f>B75</f>
        <v>0.7</v>
      </c>
      <c r="C79" s="202">
        <f>C75</f>
        <v>0.05</v>
      </c>
      <c r="D79" s="202">
        <f>D75</f>
        <v>0.1</v>
      </c>
      <c r="E79" s="202">
        <f>E75</f>
        <v>0.15</v>
      </c>
      <c r="F79" s="307">
        <f t="shared" si="3"/>
        <v>0.25</v>
      </c>
      <c r="G79" s="481">
        <f>'Standard Vorgaben'!G80*(1+Eingabeseite!$C$15)</f>
        <v>125</v>
      </c>
      <c r="H79" s="481"/>
      <c r="I79" s="157"/>
      <c r="J79" s="17"/>
      <c r="K79" s="195"/>
      <c r="L79" s="100"/>
      <c r="M79" s="23"/>
      <c r="N79" s="17"/>
    </row>
    <row r="80" spans="1:14" s="1" customFormat="1" ht="15.75" x14ac:dyDescent="0.25">
      <c r="A80" s="64">
        <v>6</v>
      </c>
      <c r="B80" s="202">
        <f>B75</f>
        <v>0.7</v>
      </c>
      <c r="C80" s="202">
        <f>C75</f>
        <v>0.05</v>
      </c>
      <c r="D80" s="202">
        <f>D75</f>
        <v>0.1</v>
      </c>
      <c r="E80" s="202">
        <f>E75</f>
        <v>0.15</v>
      </c>
      <c r="F80" s="307">
        <f t="shared" si="3"/>
        <v>0.25</v>
      </c>
      <c r="G80" s="481">
        <f>'Standard Vorgaben'!G81*(1+Eingabeseite!$C$15)</f>
        <v>125</v>
      </c>
      <c r="H80" s="481"/>
      <c r="I80" s="157"/>
      <c r="J80" s="17"/>
      <c r="K80" s="195"/>
      <c r="L80" s="100"/>
      <c r="M80" s="23"/>
      <c r="N80" s="17"/>
    </row>
    <row r="81" spans="1:14" s="1" customFormat="1" ht="15.75" x14ac:dyDescent="0.25">
      <c r="A81" s="64">
        <v>7</v>
      </c>
      <c r="B81" s="202">
        <f>B75</f>
        <v>0.7</v>
      </c>
      <c r="C81" s="202">
        <f>C75</f>
        <v>0.05</v>
      </c>
      <c r="D81" s="202">
        <f>D75</f>
        <v>0.1</v>
      </c>
      <c r="E81" s="202">
        <f>E75</f>
        <v>0.15</v>
      </c>
      <c r="F81" s="307">
        <f t="shared" si="3"/>
        <v>0.25</v>
      </c>
      <c r="G81" s="481">
        <f>'Standard Vorgaben'!G82*(1+Eingabeseite!$C$15)</f>
        <v>125</v>
      </c>
      <c r="H81" s="481"/>
      <c r="I81" s="157"/>
      <c r="J81" s="17"/>
      <c r="K81" s="195"/>
      <c r="L81" s="100"/>
      <c r="M81" s="23"/>
      <c r="N81" s="17"/>
    </row>
    <row r="82" spans="1:14" s="1" customFormat="1" ht="15.75" x14ac:dyDescent="0.25">
      <c r="A82" s="64">
        <v>8</v>
      </c>
      <c r="B82" s="202">
        <f>B75</f>
        <v>0.7</v>
      </c>
      <c r="C82" s="202">
        <f>C75</f>
        <v>0.05</v>
      </c>
      <c r="D82" s="202">
        <f>D75</f>
        <v>0.1</v>
      </c>
      <c r="E82" s="202">
        <f>E75</f>
        <v>0.15</v>
      </c>
      <c r="F82" s="307">
        <f t="shared" si="3"/>
        <v>0.25</v>
      </c>
      <c r="G82" s="481">
        <f>'Standard Vorgaben'!G83*(1+Eingabeseite!$C$15)</f>
        <v>125</v>
      </c>
      <c r="H82" s="481"/>
      <c r="I82" s="157"/>
      <c r="J82" s="17"/>
      <c r="K82" s="195"/>
      <c r="L82" s="100"/>
      <c r="M82" s="23"/>
      <c r="N82" s="17"/>
    </row>
    <row r="83" spans="1:14" s="1" customFormat="1" ht="15.75" x14ac:dyDescent="0.25">
      <c r="A83" s="64">
        <v>9</v>
      </c>
      <c r="B83" s="202">
        <f>B75</f>
        <v>0.7</v>
      </c>
      <c r="C83" s="202">
        <f>C75</f>
        <v>0.05</v>
      </c>
      <c r="D83" s="202">
        <f>D75</f>
        <v>0.1</v>
      </c>
      <c r="E83" s="202">
        <f>E75</f>
        <v>0.15</v>
      </c>
      <c r="F83" s="307">
        <f t="shared" si="3"/>
        <v>0.25</v>
      </c>
      <c r="G83" s="481">
        <f>'Standard Vorgaben'!G84*(1+Eingabeseite!$C$15)</f>
        <v>125</v>
      </c>
      <c r="H83" s="481"/>
      <c r="I83" s="157"/>
      <c r="J83" s="17"/>
      <c r="K83" s="195"/>
      <c r="L83" s="100"/>
      <c r="M83" s="23"/>
      <c r="N83" s="17"/>
    </row>
    <row r="84" spans="1:14" s="1" customFormat="1" ht="15.75" x14ac:dyDescent="0.25">
      <c r="A84" s="64">
        <v>10</v>
      </c>
      <c r="B84" s="202">
        <f>B75</f>
        <v>0.7</v>
      </c>
      <c r="C84" s="202">
        <f>C75</f>
        <v>0.05</v>
      </c>
      <c r="D84" s="202">
        <f>D75</f>
        <v>0.1</v>
      </c>
      <c r="E84" s="202">
        <f>E75</f>
        <v>0.15</v>
      </c>
      <c r="F84" s="307">
        <f t="shared" si="3"/>
        <v>0.25</v>
      </c>
      <c r="G84" s="481">
        <f>'Standard Vorgaben'!G85*(1+Eingabeseite!$C$15)</f>
        <v>125</v>
      </c>
      <c r="H84" s="481"/>
      <c r="I84" s="157"/>
      <c r="J84" s="17"/>
      <c r="K84" s="195"/>
      <c r="L84" s="100"/>
      <c r="M84" s="23"/>
      <c r="N84" s="17"/>
    </row>
    <row r="85" spans="1:14" s="1" customFormat="1" ht="15.75" x14ac:dyDescent="0.25">
      <c r="A85" s="64">
        <v>11</v>
      </c>
      <c r="B85" s="202">
        <f>B75</f>
        <v>0.7</v>
      </c>
      <c r="C85" s="202">
        <f>C75</f>
        <v>0.05</v>
      </c>
      <c r="D85" s="202">
        <f>D75</f>
        <v>0.1</v>
      </c>
      <c r="E85" s="202">
        <f>E75</f>
        <v>0.15</v>
      </c>
      <c r="F85" s="307">
        <f t="shared" si="3"/>
        <v>0.25</v>
      </c>
      <c r="G85" s="481">
        <f>'Standard Vorgaben'!G86*(1+Eingabeseite!$C$15)</f>
        <v>125</v>
      </c>
      <c r="H85" s="481"/>
      <c r="I85" s="157"/>
      <c r="J85" s="17"/>
      <c r="K85" s="195"/>
      <c r="L85" s="100"/>
      <c r="M85" s="23"/>
      <c r="N85" s="17"/>
    </row>
    <row r="86" spans="1:14" s="1" customFormat="1" ht="15.75" x14ac:dyDescent="0.25">
      <c r="A86" s="64">
        <v>12</v>
      </c>
      <c r="B86" s="202">
        <f>B75</f>
        <v>0.7</v>
      </c>
      <c r="C86" s="202">
        <f>C75</f>
        <v>0.05</v>
      </c>
      <c r="D86" s="202">
        <f>D75</f>
        <v>0.1</v>
      </c>
      <c r="E86" s="202">
        <f>E75</f>
        <v>0.15</v>
      </c>
      <c r="F86" s="307">
        <f t="shared" si="3"/>
        <v>0.25</v>
      </c>
      <c r="G86" s="481">
        <f>'Standard Vorgaben'!G87*(1+Eingabeseite!$C$15)</f>
        <v>125</v>
      </c>
      <c r="H86" s="481"/>
      <c r="I86" s="157"/>
      <c r="J86" s="17"/>
      <c r="K86" s="195"/>
      <c r="L86" s="100"/>
      <c r="M86" s="23"/>
      <c r="N86" s="17"/>
    </row>
    <row r="87" spans="1:14" s="1" customFormat="1" ht="15.75" x14ac:dyDescent="0.25">
      <c r="A87" s="64">
        <v>13</v>
      </c>
      <c r="B87" s="202">
        <f>B75</f>
        <v>0.7</v>
      </c>
      <c r="C87" s="202">
        <f>C75</f>
        <v>0.05</v>
      </c>
      <c r="D87" s="202">
        <f>D75</f>
        <v>0.1</v>
      </c>
      <c r="E87" s="202">
        <f>E75</f>
        <v>0.15</v>
      </c>
      <c r="F87" s="307">
        <f t="shared" si="3"/>
        <v>0.25</v>
      </c>
      <c r="G87" s="481">
        <f>'Standard Vorgaben'!G88*(1+Eingabeseite!$C$15)</f>
        <v>125</v>
      </c>
      <c r="H87" s="481"/>
      <c r="I87" s="157"/>
      <c r="J87" s="17"/>
      <c r="K87" s="195"/>
      <c r="L87" s="100"/>
      <c r="M87" s="23"/>
      <c r="N87" s="17"/>
    </row>
    <row r="88" spans="1:14" s="1" customFormat="1" ht="15.75" x14ac:dyDescent="0.25">
      <c r="A88" s="64">
        <v>14</v>
      </c>
      <c r="B88" s="202">
        <f>B75</f>
        <v>0.7</v>
      </c>
      <c r="C88" s="202">
        <f>C75</f>
        <v>0.05</v>
      </c>
      <c r="D88" s="202">
        <f>D75</f>
        <v>0.1</v>
      </c>
      <c r="E88" s="202">
        <f>E75</f>
        <v>0.15</v>
      </c>
      <c r="F88" s="307">
        <f t="shared" si="3"/>
        <v>0.25</v>
      </c>
      <c r="G88" s="481">
        <f>'Standard Vorgaben'!G89*(1+Eingabeseite!$C$15)</f>
        <v>125</v>
      </c>
      <c r="H88" s="481"/>
      <c r="I88" s="157"/>
      <c r="J88" s="17"/>
      <c r="K88" s="195"/>
      <c r="L88" s="100"/>
      <c r="M88" s="23"/>
      <c r="N88" s="17"/>
    </row>
    <row r="89" spans="1:14" s="1" customFormat="1" ht="15.75" x14ac:dyDescent="0.25">
      <c r="A89" s="64">
        <v>15</v>
      </c>
      <c r="B89" s="202">
        <f t="shared" ref="B89:E92" si="4">B75</f>
        <v>0.7</v>
      </c>
      <c r="C89" s="202">
        <f t="shared" si="4"/>
        <v>0.05</v>
      </c>
      <c r="D89" s="202">
        <f t="shared" si="4"/>
        <v>0.1</v>
      </c>
      <c r="E89" s="202">
        <f t="shared" si="4"/>
        <v>0.15</v>
      </c>
      <c r="F89" s="307">
        <f t="shared" si="3"/>
        <v>0.25</v>
      </c>
      <c r="G89" s="481">
        <f>'Standard Vorgaben'!G90*(1+Eingabeseite!$C$15)</f>
        <v>125</v>
      </c>
      <c r="H89" s="481"/>
      <c r="I89" s="157"/>
      <c r="J89" s="17"/>
      <c r="K89" s="195"/>
      <c r="L89" s="100"/>
      <c r="M89" s="23"/>
      <c r="N89" s="17"/>
    </row>
    <row r="90" spans="1:14" s="1" customFormat="1" ht="15.75" x14ac:dyDescent="0.25">
      <c r="A90" s="64">
        <v>16</v>
      </c>
      <c r="B90" s="202">
        <f t="shared" si="4"/>
        <v>0.7</v>
      </c>
      <c r="C90" s="202">
        <f t="shared" si="4"/>
        <v>0.05</v>
      </c>
      <c r="D90" s="202">
        <f t="shared" si="4"/>
        <v>0.1</v>
      </c>
      <c r="E90" s="202">
        <f t="shared" si="4"/>
        <v>0.15</v>
      </c>
      <c r="F90" s="307">
        <f t="shared" si="3"/>
        <v>0.25</v>
      </c>
      <c r="G90" s="481">
        <f>'Standard Vorgaben'!G91*(1+Eingabeseite!$C$15)</f>
        <v>125</v>
      </c>
      <c r="H90" s="481"/>
      <c r="I90" s="157"/>
      <c r="J90" s="17"/>
      <c r="K90" s="195"/>
      <c r="L90" s="100"/>
      <c r="M90" s="23"/>
      <c r="N90" s="17"/>
    </row>
    <row r="91" spans="1:14" s="1" customFormat="1" ht="15.75" x14ac:dyDescent="0.25">
      <c r="A91" s="64">
        <v>17</v>
      </c>
      <c r="B91" s="202">
        <f t="shared" si="4"/>
        <v>0.7</v>
      </c>
      <c r="C91" s="202">
        <f t="shared" si="4"/>
        <v>0.05</v>
      </c>
      <c r="D91" s="202">
        <f t="shared" si="4"/>
        <v>0.1</v>
      </c>
      <c r="E91" s="202">
        <f t="shared" si="4"/>
        <v>0.15</v>
      </c>
      <c r="F91" s="307">
        <f t="shared" si="3"/>
        <v>0.25</v>
      </c>
      <c r="G91" s="481">
        <f>'Standard Vorgaben'!G92*(1+Eingabeseite!$C$15)</f>
        <v>125</v>
      </c>
      <c r="H91" s="481"/>
      <c r="I91" s="157"/>
      <c r="J91" s="17"/>
      <c r="K91" s="195"/>
      <c r="L91" s="100"/>
      <c r="M91" s="23"/>
      <c r="N91" s="17"/>
    </row>
    <row r="92" spans="1:14" s="1" customFormat="1" ht="15.75" x14ac:dyDescent="0.25">
      <c r="A92" s="64">
        <v>18</v>
      </c>
      <c r="B92" s="202">
        <f t="shared" si="4"/>
        <v>0.7</v>
      </c>
      <c r="C92" s="202">
        <f t="shared" si="4"/>
        <v>0.05</v>
      </c>
      <c r="D92" s="202">
        <f t="shared" si="4"/>
        <v>0.1</v>
      </c>
      <c r="E92" s="202">
        <f t="shared" si="4"/>
        <v>0.15</v>
      </c>
      <c r="F92" s="307">
        <f t="shared" si="3"/>
        <v>0.25</v>
      </c>
      <c r="G92" s="481">
        <f>'Standard Vorgaben'!G93*(1+Eingabeseite!$C$15)</f>
        <v>125</v>
      </c>
      <c r="H92" s="481"/>
      <c r="I92" s="157"/>
      <c r="J92" s="17"/>
      <c r="K92" s="195"/>
      <c r="L92" s="100"/>
      <c r="M92" s="23"/>
      <c r="N92" s="17"/>
    </row>
    <row r="93" spans="1:14" s="1" customFormat="1" ht="15.75" x14ac:dyDescent="0.25">
      <c r="A93" s="64">
        <v>19</v>
      </c>
      <c r="B93" s="202">
        <f t="shared" ref="B93:E94" si="5">B79</f>
        <v>0.7</v>
      </c>
      <c r="C93" s="202">
        <f t="shared" si="5"/>
        <v>0.05</v>
      </c>
      <c r="D93" s="202">
        <f t="shared" si="5"/>
        <v>0.1</v>
      </c>
      <c r="E93" s="202">
        <f t="shared" si="5"/>
        <v>0.15</v>
      </c>
      <c r="F93" s="307">
        <f t="shared" si="3"/>
        <v>0.25</v>
      </c>
      <c r="G93" s="481">
        <f>'Standard Vorgaben'!G94*(1+Eingabeseite!$C$15)</f>
        <v>125</v>
      </c>
      <c r="H93" s="481"/>
      <c r="I93" s="157"/>
      <c r="J93" s="17"/>
      <c r="K93" s="195"/>
      <c r="L93" s="100"/>
      <c r="M93" s="23"/>
      <c r="N93" s="17"/>
    </row>
    <row r="94" spans="1:14" s="1" customFormat="1" ht="15.75" x14ac:dyDescent="0.25">
      <c r="A94" s="64">
        <v>20</v>
      </c>
      <c r="B94" s="202">
        <f t="shared" si="5"/>
        <v>0.7</v>
      </c>
      <c r="C94" s="202">
        <f t="shared" si="5"/>
        <v>0.05</v>
      </c>
      <c r="D94" s="202">
        <f t="shared" si="5"/>
        <v>0.1</v>
      </c>
      <c r="E94" s="202">
        <f t="shared" si="5"/>
        <v>0.15</v>
      </c>
      <c r="F94" s="193">
        <f t="shared" si="3"/>
        <v>0.25</v>
      </c>
      <c r="G94" s="481">
        <f>'Standard Vorgaben'!G95*(1+Eingabeseite!$C$15)</f>
        <v>125</v>
      </c>
      <c r="H94" s="481"/>
      <c r="I94" s="157"/>
      <c r="J94" s="17"/>
      <c r="K94" s="195"/>
      <c r="L94" s="100"/>
      <c r="M94" s="23"/>
      <c r="N94" s="17"/>
    </row>
    <row r="95" spans="1:14" s="1" customFormat="1" ht="15.75" x14ac:dyDescent="0.25">
      <c r="A95" s="70" t="s">
        <v>231</v>
      </c>
      <c r="B95" s="189">
        <f t="shared" ref="B95:G95" si="6">AVERAGE(B78:B94)</f>
        <v>0.69999999999999984</v>
      </c>
      <c r="C95" s="189">
        <f t="shared" si="6"/>
        <v>5.000000000000001E-2</v>
      </c>
      <c r="D95" s="189">
        <f t="shared" si="6"/>
        <v>0.10000000000000002</v>
      </c>
      <c r="E95" s="189">
        <f t="shared" si="6"/>
        <v>0.14999999999999997</v>
      </c>
      <c r="F95" s="189">
        <f t="shared" si="6"/>
        <v>0.25</v>
      </c>
      <c r="G95" s="482">
        <f t="shared" si="6"/>
        <v>125</v>
      </c>
      <c r="H95" s="869"/>
      <c r="I95" s="93"/>
      <c r="J95" s="17"/>
      <c r="K95" s="195"/>
      <c r="L95" s="100"/>
      <c r="M95" s="23"/>
      <c r="N95" s="17"/>
    </row>
    <row r="96" spans="1:14" s="1" customFormat="1" ht="15.75" x14ac:dyDescent="0.25">
      <c r="A96" s="70" t="s">
        <v>232</v>
      </c>
      <c r="B96" s="131">
        <f t="shared" ref="B96:G96" si="7">AVERAGE(B75:B94)</f>
        <v>0.69999999999999973</v>
      </c>
      <c r="C96" s="131">
        <f t="shared" si="7"/>
        <v>5.000000000000001E-2</v>
      </c>
      <c r="D96" s="131">
        <f t="shared" si="7"/>
        <v>0.10000000000000002</v>
      </c>
      <c r="E96" s="131">
        <f t="shared" si="7"/>
        <v>0.14999999999999997</v>
      </c>
      <c r="F96" s="131">
        <f t="shared" si="7"/>
        <v>0.25</v>
      </c>
      <c r="G96" s="482">
        <f t="shared" si="7"/>
        <v>125</v>
      </c>
      <c r="H96" s="482"/>
      <c r="I96" s="109"/>
      <c r="J96" s="17"/>
      <c r="K96" s="195"/>
      <c r="L96" s="100"/>
      <c r="M96" s="23"/>
      <c r="N96" s="17"/>
    </row>
    <row r="97" spans="1:14" s="1" customFormat="1" ht="15.75" x14ac:dyDescent="0.25">
      <c r="B97" s="108"/>
      <c r="C97" s="108"/>
      <c r="D97" s="108"/>
      <c r="E97" s="93"/>
      <c r="F97" s="109"/>
      <c r="I97" s="125"/>
      <c r="J97" s="23"/>
      <c r="K97" s="195"/>
      <c r="L97" s="160"/>
      <c r="M97" s="23"/>
      <c r="N97" s="23"/>
    </row>
    <row r="98" spans="1:14" s="1" customFormat="1" ht="33" x14ac:dyDescent="0.45">
      <c r="A98" s="439" t="s">
        <v>382</v>
      </c>
      <c r="B98" s="483"/>
      <c r="C98" s="483"/>
      <c r="D98" s="483"/>
      <c r="E98" s="484"/>
      <c r="F98" s="485"/>
      <c r="G98" s="486"/>
      <c r="H98" s="487"/>
      <c r="I98" s="488"/>
      <c r="J98" s="23"/>
      <c r="K98" s="195"/>
      <c r="L98" s="160"/>
      <c r="M98" s="23"/>
      <c r="N98" s="23"/>
    </row>
    <row r="99" spans="1:14" s="1" customFormat="1" ht="29.25" customHeight="1" x14ac:dyDescent="0.25">
      <c r="B99" s="877" t="s">
        <v>137</v>
      </c>
      <c r="C99" s="877" t="s">
        <v>138</v>
      </c>
      <c r="D99" s="876" t="s">
        <v>155</v>
      </c>
      <c r="E99" s="876" t="s">
        <v>195</v>
      </c>
      <c r="F99" s="877" t="s">
        <v>140</v>
      </c>
      <c r="G99" s="877" t="s">
        <v>141</v>
      </c>
      <c r="I99" s="125"/>
      <c r="J99" s="23"/>
      <c r="K99" s="195"/>
      <c r="L99" s="160"/>
      <c r="M99" s="23"/>
      <c r="N99" s="23"/>
    </row>
    <row r="100" spans="1:14" s="1" customFormat="1" ht="16.5" thickBot="1" x14ac:dyDescent="0.3">
      <c r="B100" s="214" t="s">
        <v>139</v>
      </c>
      <c r="C100" s="214" t="s">
        <v>139</v>
      </c>
      <c r="D100" s="214" t="s">
        <v>139</v>
      </c>
      <c r="E100" s="214" t="s">
        <v>139</v>
      </c>
      <c r="F100" s="214" t="s">
        <v>139</v>
      </c>
      <c r="G100" s="214" t="s">
        <v>139</v>
      </c>
      <c r="I100" s="125"/>
      <c r="J100" s="23"/>
      <c r="K100" s="195"/>
      <c r="L100" s="160"/>
      <c r="M100" s="23"/>
      <c r="N100" s="23"/>
    </row>
    <row r="101" spans="1:14" s="1" customFormat="1" ht="15.75" x14ac:dyDescent="0.25">
      <c r="A101" s="106" t="s">
        <v>80</v>
      </c>
      <c r="B101" s="513">
        <v>10</v>
      </c>
      <c r="C101" s="513">
        <v>10</v>
      </c>
      <c r="D101" s="516">
        <v>160</v>
      </c>
      <c r="E101" s="1209">
        <f>Eingabeseite!D20</f>
        <v>40</v>
      </c>
      <c r="F101" s="514">
        <v>30</v>
      </c>
      <c r="G101" s="515">
        <v>10</v>
      </c>
      <c r="I101" s="125"/>
      <c r="J101" s="23"/>
      <c r="K101" s="195"/>
      <c r="L101" s="160"/>
      <c r="M101" s="23"/>
      <c r="N101" s="23"/>
    </row>
    <row r="102" spans="1:14" s="1" customFormat="1" ht="15.75" x14ac:dyDescent="0.25">
      <c r="A102" s="1" t="s">
        <v>105</v>
      </c>
      <c r="B102" s="516">
        <v>10</v>
      </c>
      <c r="C102" s="516">
        <v>10</v>
      </c>
      <c r="D102" s="516">
        <v>50</v>
      </c>
      <c r="E102" s="516">
        <v>0</v>
      </c>
      <c r="F102" s="514">
        <v>10</v>
      </c>
      <c r="G102" s="515">
        <v>10</v>
      </c>
      <c r="I102" s="125"/>
      <c r="J102" s="23"/>
      <c r="K102" s="195"/>
      <c r="L102" s="160"/>
      <c r="M102" s="23"/>
      <c r="N102" s="23"/>
    </row>
    <row r="103" spans="1:14" s="1" customFormat="1" ht="15.75" x14ac:dyDescent="0.25">
      <c r="A103" s="1" t="s">
        <v>142</v>
      </c>
      <c r="B103" s="516">
        <v>10</v>
      </c>
      <c r="C103" s="516">
        <v>10</v>
      </c>
      <c r="D103" s="516">
        <v>50</v>
      </c>
      <c r="E103" s="516">
        <v>20</v>
      </c>
      <c r="F103" s="514">
        <v>10</v>
      </c>
      <c r="G103" s="515">
        <v>10</v>
      </c>
      <c r="I103" s="125"/>
      <c r="J103" s="23"/>
      <c r="K103" s="195"/>
      <c r="L103" s="160"/>
      <c r="M103" s="23"/>
      <c r="N103" s="23"/>
    </row>
    <row r="104" spans="1:14" s="1" customFormat="1" ht="15.75" x14ac:dyDescent="0.25">
      <c r="A104" s="1" t="s">
        <v>168</v>
      </c>
      <c r="B104" s="212" t="s">
        <v>143</v>
      </c>
      <c r="C104" s="212"/>
      <c r="D104" s="212"/>
      <c r="E104" s="212"/>
      <c r="F104" s="109"/>
      <c r="I104" s="125"/>
      <c r="J104" s="23"/>
      <c r="K104" s="195"/>
      <c r="L104" s="160"/>
      <c r="M104" s="23"/>
      <c r="N104" s="23"/>
    </row>
    <row r="105" spans="1:14" s="1" customFormat="1" ht="15.75" x14ac:dyDescent="0.25">
      <c r="B105" s="212"/>
      <c r="C105" s="212"/>
      <c r="D105" s="212"/>
      <c r="E105" s="212"/>
      <c r="F105" s="109"/>
      <c r="I105" s="125"/>
      <c r="J105" s="23"/>
      <c r="K105" s="195"/>
      <c r="L105" s="160"/>
      <c r="M105" s="23"/>
      <c r="N105" s="23"/>
    </row>
    <row r="106" spans="1:14" s="1" customFormat="1" ht="31.5" customHeight="1" x14ac:dyDescent="0.4">
      <c r="A106" s="541" t="s">
        <v>385</v>
      </c>
      <c r="B106" s="542"/>
      <c r="C106" s="543"/>
      <c r="D106" s="543"/>
      <c r="E106" s="544"/>
      <c r="F106" s="545"/>
      <c r="G106" s="546"/>
      <c r="H106" s="546"/>
      <c r="I106" s="547"/>
    </row>
    <row r="107" spans="1:14" x14ac:dyDescent="0.2">
      <c r="K107" s="1"/>
      <c r="M107" s="23"/>
      <c r="N107" s="103"/>
    </row>
    <row r="108" spans="1:14" s="1" customFormat="1" ht="26.25" x14ac:dyDescent="0.4">
      <c r="A108" s="494" t="s">
        <v>104</v>
      </c>
      <c r="B108" s="480"/>
      <c r="C108" s="495"/>
      <c r="D108" s="437"/>
      <c r="E108" s="497"/>
      <c r="F108" s="497"/>
      <c r="G108" s="475"/>
      <c r="H108" s="480"/>
      <c r="I108" s="480"/>
      <c r="M108" s="23"/>
      <c r="N108" s="17"/>
    </row>
    <row r="109" spans="1:14" ht="22.5" customHeight="1" x14ac:dyDescent="0.2">
      <c r="A109" s="1"/>
      <c r="B109" s="500" t="s">
        <v>485</v>
      </c>
      <c r="C109" s="500" t="s">
        <v>584</v>
      </c>
      <c r="D109" s="500" t="s">
        <v>585</v>
      </c>
      <c r="E109" s="501"/>
      <c r="I109" s="23"/>
      <c r="J109" s="23"/>
      <c r="K109" s="23"/>
      <c r="L109" s="23"/>
      <c r="M109" s="23"/>
      <c r="N109" s="17"/>
    </row>
    <row r="110" spans="1:14" x14ac:dyDescent="0.2">
      <c r="A110" s="540" t="s">
        <v>56</v>
      </c>
      <c r="B110" s="1049">
        <f>0.95</f>
        <v>0.95</v>
      </c>
      <c r="C110" s="1216">
        <v>0.43</v>
      </c>
      <c r="D110" s="1216">
        <f>350/1000</f>
        <v>0.35</v>
      </c>
      <c r="E110" s="280"/>
      <c r="F110" s="280"/>
      <c r="I110" s="190"/>
      <c r="J110" s="54"/>
      <c r="K110" s="54"/>
      <c r="L110" s="189"/>
      <c r="M110" s="23"/>
    </row>
    <row r="111" spans="1:14" x14ac:dyDescent="0.2">
      <c r="A111" s="213"/>
      <c r="B111" s="273"/>
      <c r="C111" s="273"/>
      <c r="D111" s="99"/>
      <c r="E111" s="273"/>
      <c r="F111" s="273"/>
      <c r="I111" s="190"/>
      <c r="J111" s="58"/>
      <c r="K111" s="58"/>
      <c r="L111" s="58"/>
      <c r="M111" s="23"/>
    </row>
    <row r="112" spans="1:14" x14ac:dyDescent="0.2">
      <c r="A112" s="363" t="s">
        <v>89</v>
      </c>
      <c r="B112" s="517">
        <v>0</v>
      </c>
      <c r="C112" s="517">
        <v>0</v>
      </c>
      <c r="D112" s="1217">
        <v>0</v>
      </c>
      <c r="E112" s="281"/>
      <c r="F112" s="281"/>
      <c r="I112" s="190"/>
      <c r="J112" s="191"/>
      <c r="K112" s="191"/>
      <c r="L112" s="192"/>
      <c r="M112" s="23"/>
    </row>
    <row r="113" spans="1:13" x14ac:dyDescent="0.2">
      <c r="A113" s="99"/>
      <c r="B113" s="14"/>
      <c r="C113" s="518"/>
      <c r="D113" s="1031">
        <v>0</v>
      </c>
      <c r="E113" s="1"/>
      <c r="F113" s="142"/>
      <c r="I113" s="23"/>
      <c r="J113" s="23"/>
      <c r="K113" s="23"/>
      <c r="L113" s="23"/>
      <c r="M113" s="23"/>
    </row>
    <row r="114" spans="1:13" x14ac:dyDescent="0.2">
      <c r="A114" s="363" t="s">
        <v>105</v>
      </c>
      <c r="B114" s="517">
        <v>50</v>
      </c>
      <c r="C114" s="517">
        <v>50</v>
      </c>
      <c r="D114" s="1217">
        <v>0</v>
      </c>
      <c r="E114" s="281"/>
      <c r="F114" s="281"/>
      <c r="I114" s="52"/>
      <c r="J114" s="23"/>
      <c r="K114" s="52"/>
      <c r="L114" s="52"/>
      <c r="M114" s="23"/>
    </row>
    <row r="115" spans="1:13" x14ac:dyDescent="0.2">
      <c r="A115" s="156" t="s">
        <v>153</v>
      </c>
      <c r="B115" s="65">
        <v>0</v>
      </c>
      <c r="C115" s="65">
        <v>0</v>
      </c>
      <c r="D115" s="1031">
        <v>0</v>
      </c>
      <c r="E115" s="46"/>
      <c r="F115" s="46"/>
      <c r="I115" s="52"/>
      <c r="J115" s="23"/>
      <c r="K115" s="52"/>
      <c r="L115" s="52"/>
      <c r="M115" s="23"/>
    </row>
    <row r="116" spans="1:13" x14ac:dyDescent="0.2">
      <c r="A116" s="363" t="s">
        <v>106</v>
      </c>
      <c r="B116" s="517">
        <v>100</v>
      </c>
      <c r="C116" s="517">
        <v>125</v>
      </c>
      <c r="D116" s="1217">
        <v>0</v>
      </c>
      <c r="E116" s="281"/>
      <c r="F116" s="281"/>
      <c r="I116" s="52"/>
      <c r="J116" s="23"/>
      <c r="K116" s="193"/>
      <c r="L116" s="23"/>
      <c r="M116" s="23"/>
    </row>
    <row r="117" spans="1:13" x14ac:dyDescent="0.2">
      <c r="A117" s="156" t="s">
        <v>153</v>
      </c>
      <c r="B117" s="65">
        <v>1</v>
      </c>
      <c r="C117" s="65">
        <v>0</v>
      </c>
      <c r="D117" s="1031">
        <v>0</v>
      </c>
      <c r="E117" s="46"/>
      <c r="F117" s="46"/>
      <c r="I117" s="52"/>
      <c r="J117" s="23"/>
      <c r="K117" s="194"/>
      <c r="L117" s="23"/>
      <c r="M117" s="23"/>
    </row>
    <row r="118" spans="1:13" x14ac:dyDescent="0.2">
      <c r="A118" s="363" t="s">
        <v>107</v>
      </c>
      <c r="B118" s="517">
        <v>150</v>
      </c>
      <c r="C118" s="517">
        <v>200</v>
      </c>
      <c r="D118" s="1217">
        <v>0</v>
      </c>
      <c r="E118" s="281"/>
      <c r="F118" s="281"/>
      <c r="H118" s="851"/>
      <c r="J118" s="432"/>
    </row>
    <row r="119" spans="1:13" x14ac:dyDescent="0.2">
      <c r="A119" s="156" t="s">
        <v>153</v>
      </c>
      <c r="B119" s="65">
        <v>1</v>
      </c>
      <c r="C119" s="65">
        <v>1</v>
      </c>
      <c r="D119" s="1031">
        <v>0</v>
      </c>
      <c r="E119" s="46"/>
      <c r="F119" s="46"/>
      <c r="H119" s="851"/>
      <c r="J119" s="432"/>
    </row>
    <row r="120" spans="1:13" x14ac:dyDescent="0.2">
      <c r="A120" s="363" t="s">
        <v>377</v>
      </c>
      <c r="B120" s="517">
        <v>200</v>
      </c>
      <c r="C120" s="517">
        <v>400</v>
      </c>
      <c r="D120" s="1217">
        <v>0</v>
      </c>
      <c r="E120" s="281"/>
      <c r="F120" s="281"/>
      <c r="H120" s="851"/>
      <c r="J120" s="432"/>
    </row>
    <row r="121" spans="1:13" x14ac:dyDescent="0.2">
      <c r="A121" s="156" t="s">
        <v>153</v>
      </c>
      <c r="B121" s="65">
        <v>2</v>
      </c>
      <c r="C121" s="65">
        <v>1</v>
      </c>
      <c r="D121" s="1031">
        <v>0</v>
      </c>
      <c r="E121" s="46"/>
      <c r="F121" s="46"/>
      <c r="H121" s="851"/>
      <c r="J121" s="432"/>
    </row>
    <row r="122" spans="1:13" x14ac:dyDescent="0.2">
      <c r="A122" s="363" t="s">
        <v>378</v>
      </c>
      <c r="B122" s="517">
        <v>200</v>
      </c>
      <c r="C122" s="517">
        <v>400</v>
      </c>
      <c r="D122" s="1217">
        <v>0</v>
      </c>
      <c r="E122" s="281"/>
      <c r="F122" s="281"/>
      <c r="H122" s="851"/>
    </row>
    <row r="123" spans="1:13" x14ac:dyDescent="0.2">
      <c r="A123" s="156" t="s">
        <v>153</v>
      </c>
      <c r="B123" s="65">
        <v>2</v>
      </c>
      <c r="C123" s="65">
        <v>1</v>
      </c>
      <c r="D123" s="1031">
        <v>0</v>
      </c>
      <c r="E123" s="46"/>
      <c r="F123" s="46"/>
      <c r="H123" s="851"/>
      <c r="J123" s="432"/>
    </row>
    <row r="124" spans="1:13" x14ac:dyDescent="0.2">
      <c r="A124" s="363" t="s">
        <v>80</v>
      </c>
      <c r="B124" s="517">
        <v>200</v>
      </c>
      <c r="C124" s="1217">
        <v>400</v>
      </c>
      <c r="D124" s="1218">
        <v>1000</v>
      </c>
      <c r="E124" s="281"/>
      <c r="F124" s="281"/>
      <c r="H124" s="851"/>
      <c r="J124" s="432"/>
    </row>
    <row r="125" spans="1:13" x14ac:dyDescent="0.2">
      <c r="A125" s="156" t="s">
        <v>153</v>
      </c>
      <c r="B125" s="65">
        <v>2</v>
      </c>
      <c r="C125" s="1031">
        <v>1</v>
      </c>
      <c r="D125" s="1031">
        <v>1</v>
      </c>
      <c r="E125" s="46"/>
      <c r="F125" s="46"/>
    </row>
    <row r="127" spans="1:13" s="1" customFormat="1" ht="26.25" x14ac:dyDescent="0.4">
      <c r="A127" s="494" t="s">
        <v>608</v>
      </c>
      <c r="B127" s="480"/>
      <c r="C127" s="495"/>
      <c r="D127" s="497"/>
      <c r="E127" s="497"/>
      <c r="F127" s="497"/>
      <c r="G127" s="497"/>
      <c r="H127" s="437"/>
      <c r="I127" s="1033"/>
    </row>
    <row r="128" spans="1:13" s="1" customFormat="1" ht="11.65" customHeight="1" x14ac:dyDescent="0.2">
      <c r="A128" s="4"/>
      <c r="B128" s="52" t="s">
        <v>39</v>
      </c>
      <c r="C128" s="52" t="s">
        <v>40</v>
      </c>
      <c r="D128" s="52" t="s">
        <v>41</v>
      </c>
      <c r="E128" s="52" t="s">
        <v>42</v>
      </c>
      <c r="F128" s="52" t="s">
        <v>609</v>
      </c>
      <c r="G128" s="272"/>
    </row>
    <row r="129" spans="1:15" s="1" customFormat="1" ht="10.7" customHeight="1" x14ac:dyDescent="0.2">
      <c r="A129" s="4"/>
      <c r="B129" s="1244" t="s">
        <v>22</v>
      </c>
      <c r="C129" s="1244" t="s">
        <v>22</v>
      </c>
      <c r="D129" s="1244" t="s">
        <v>22</v>
      </c>
      <c r="E129" s="1244" t="s">
        <v>22</v>
      </c>
      <c r="F129" s="1244" t="s">
        <v>22</v>
      </c>
      <c r="G129" s="272"/>
    </row>
    <row r="130" spans="1:15" x14ac:dyDescent="0.2">
      <c r="A130" s="499" t="s">
        <v>351</v>
      </c>
      <c r="B130" s="1240">
        <v>200</v>
      </c>
      <c r="C130" s="1240">
        <v>250</v>
      </c>
      <c r="D130" s="1240">
        <v>480</v>
      </c>
      <c r="E130" s="1241">
        <v>870</v>
      </c>
      <c r="F130" s="1241">
        <v>1100</v>
      </c>
      <c r="G130" s="851"/>
      <c r="I130" s="432"/>
    </row>
    <row r="131" spans="1:15" x14ac:dyDescent="0.2">
      <c r="A131" s="499" t="s">
        <v>606</v>
      </c>
      <c r="B131" s="1240">
        <v>0</v>
      </c>
      <c r="C131" s="1240">
        <v>500</v>
      </c>
      <c r="D131" s="1240">
        <v>500</v>
      </c>
      <c r="E131" s="1240">
        <v>500</v>
      </c>
      <c r="F131" s="1241">
        <v>550</v>
      </c>
      <c r="G131" s="851"/>
      <c r="I131" s="432"/>
    </row>
    <row r="132" spans="1:15" x14ac:dyDescent="0.2">
      <c r="A132" s="499" t="s">
        <v>352</v>
      </c>
      <c r="B132" s="1240">
        <v>15</v>
      </c>
      <c r="C132" s="1240">
        <v>30</v>
      </c>
      <c r="D132" s="1240">
        <v>460</v>
      </c>
      <c r="E132" s="1241">
        <v>500</v>
      </c>
      <c r="F132" s="1241">
        <v>2020</v>
      </c>
      <c r="G132" s="851"/>
      <c r="I132" s="432"/>
    </row>
    <row r="133" spans="1:15" x14ac:dyDescent="0.2">
      <c r="A133" s="499" t="s">
        <v>353</v>
      </c>
      <c r="B133" s="1241">
        <v>110</v>
      </c>
      <c r="C133" s="1241">
        <v>110</v>
      </c>
      <c r="D133" s="1241">
        <v>110</v>
      </c>
      <c r="E133" s="1241">
        <v>110</v>
      </c>
      <c r="F133" s="1241">
        <v>570</v>
      </c>
      <c r="G133" s="851"/>
      <c r="I133" s="432"/>
    </row>
    <row r="134" spans="1:15" x14ac:dyDescent="0.2">
      <c r="A134" s="499" t="s">
        <v>607</v>
      </c>
      <c r="B134" s="1241">
        <v>0</v>
      </c>
      <c r="C134" s="1241">
        <v>0</v>
      </c>
      <c r="D134" s="1241">
        <v>0</v>
      </c>
      <c r="E134" s="1241">
        <v>0</v>
      </c>
      <c r="F134" s="1241">
        <v>440</v>
      </c>
      <c r="G134" s="851"/>
      <c r="I134" s="432"/>
    </row>
    <row r="135" spans="1:15" s="1" customFormat="1" ht="15" customHeight="1" x14ac:dyDescent="0.3">
      <c r="B135" s="155"/>
      <c r="C135" s="142"/>
      <c r="D135" s="46"/>
      <c r="E135" s="46"/>
      <c r="F135" s="46"/>
    </row>
    <row r="136" spans="1:15" ht="32.25" customHeight="1" x14ac:dyDescent="0.4">
      <c r="A136" s="509" t="s">
        <v>23</v>
      </c>
      <c r="B136" s="509"/>
      <c r="C136" s="510"/>
      <c r="D136" s="511"/>
      <c r="E136" s="511"/>
      <c r="F136" s="511"/>
      <c r="G136" s="512"/>
      <c r="H136" s="1264"/>
      <c r="I136" s="1265"/>
    </row>
    <row r="137" spans="1:15" ht="15.75" x14ac:dyDescent="0.25">
      <c r="A137" s="4"/>
      <c r="B137" s="550" t="s">
        <v>93</v>
      </c>
      <c r="C137" s="519"/>
      <c r="D137" s="13"/>
      <c r="E137" s="13"/>
      <c r="F137" s="13"/>
    </row>
    <row r="138" spans="1:15" ht="18" customHeight="1" x14ac:dyDescent="0.2">
      <c r="A138" s="548" t="s">
        <v>24</v>
      </c>
      <c r="B138" s="106" t="s">
        <v>422</v>
      </c>
      <c r="D138" s="145">
        <f>D153</f>
        <v>41</v>
      </c>
      <c r="F138" s="238" t="s">
        <v>234</v>
      </c>
      <c r="H138" s="312">
        <v>0.25</v>
      </c>
    </row>
    <row r="139" spans="1:15" ht="18" customHeight="1" x14ac:dyDescent="0.2">
      <c r="A139" s="548"/>
      <c r="B139" s="3"/>
      <c r="D139" s="136"/>
      <c r="E139" s="154"/>
      <c r="G139" s="166"/>
    </row>
    <row r="140" spans="1:15" x14ac:dyDescent="0.2">
      <c r="A140" s="223"/>
      <c r="B140" s="4"/>
      <c r="D140" s="136"/>
      <c r="F140" s="171" t="s">
        <v>119</v>
      </c>
      <c r="G140" s="881" t="s">
        <v>120</v>
      </c>
      <c r="H140" s="49" t="s">
        <v>86</v>
      </c>
    </row>
    <row r="141" spans="1:15" x14ac:dyDescent="0.2">
      <c r="A141" s="4"/>
      <c r="B141" s="4"/>
      <c r="C141" s="123" t="s">
        <v>111</v>
      </c>
      <c r="D141" s="128" t="s">
        <v>112</v>
      </c>
      <c r="E141" s="49" t="s">
        <v>11</v>
      </c>
      <c r="F141" s="172" t="s">
        <v>121</v>
      </c>
      <c r="G141" s="172" t="s">
        <v>121</v>
      </c>
      <c r="H141" s="172" t="s">
        <v>121</v>
      </c>
    </row>
    <row r="142" spans="1:15" x14ac:dyDescent="0.2">
      <c r="A142" s="223" t="s">
        <v>109</v>
      </c>
      <c r="B142" s="4" t="s">
        <v>476</v>
      </c>
      <c r="C142" s="141">
        <v>1</v>
      </c>
      <c r="D142" s="1246">
        <v>37</v>
      </c>
      <c r="E142" s="283"/>
      <c r="F142" s="283"/>
      <c r="G142" s="176">
        <v>11.67</v>
      </c>
      <c r="H142" s="522">
        <f t="shared" ref="H142:H148" si="8">ROUND(F142+G142,1)</f>
        <v>11.7</v>
      </c>
      <c r="O142">
        <v>11.67</v>
      </c>
    </row>
    <row r="143" spans="1:15" x14ac:dyDescent="0.2">
      <c r="A143" s="4"/>
      <c r="B143" s="53" t="s">
        <v>601</v>
      </c>
      <c r="C143" s="141">
        <v>1</v>
      </c>
      <c r="D143" s="1246">
        <v>42</v>
      </c>
      <c r="E143" s="283"/>
      <c r="F143" s="283"/>
      <c r="G143" s="176">
        <v>6.07</v>
      </c>
      <c r="H143" s="522">
        <f t="shared" si="8"/>
        <v>6.1</v>
      </c>
      <c r="O143">
        <v>6.07</v>
      </c>
    </row>
    <row r="144" spans="1:15" x14ac:dyDescent="0.2">
      <c r="A144" s="4"/>
      <c r="B144" s="4" t="s">
        <v>91</v>
      </c>
      <c r="C144" s="141">
        <v>1</v>
      </c>
      <c r="D144" s="1246">
        <v>18</v>
      </c>
      <c r="E144" s="283"/>
      <c r="F144" s="283"/>
      <c r="G144" s="176">
        <v>7.03</v>
      </c>
      <c r="H144" s="522">
        <f t="shared" si="8"/>
        <v>7</v>
      </c>
      <c r="O144">
        <v>7.03</v>
      </c>
    </row>
    <row r="145" spans="1:15" x14ac:dyDescent="0.2">
      <c r="A145" s="4"/>
      <c r="B145" s="4" t="s">
        <v>233</v>
      </c>
      <c r="C145" s="524">
        <v>960</v>
      </c>
      <c r="D145" s="1246">
        <v>9.1999999999999993</v>
      </c>
      <c r="E145" s="523">
        <v>4</v>
      </c>
      <c r="F145" s="283"/>
      <c r="G145" s="176">
        <v>1.53</v>
      </c>
      <c r="H145" s="522">
        <f t="shared" si="8"/>
        <v>1.5</v>
      </c>
      <c r="I145" s="151" t="s">
        <v>159</v>
      </c>
      <c r="M145">
        <v>4</v>
      </c>
      <c r="O145">
        <v>1.53</v>
      </c>
    </row>
    <row r="146" spans="1:15" x14ac:dyDescent="0.2">
      <c r="A146" s="4"/>
      <c r="B146" s="53" t="s">
        <v>602</v>
      </c>
      <c r="C146" s="141">
        <v>1</v>
      </c>
      <c r="D146" s="1246">
        <v>42</v>
      </c>
      <c r="E146" s="65">
        <v>7</v>
      </c>
      <c r="F146" s="283"/>
      <c r="G146" s="176">
        <v>14.5</v>
      </c>
      <c r="H146" s="522">
        <f t="shared" si="8"/>
        <v>14.5</v>
      </c>
      <c r="I146" s="151"/>
      <c r="M146">
        <v>7</v>
      </c>
      <c r="O146">
        <v>14.5</v>
      </c>
    </row>
    <row r="147" spans="1:15" x14ac:dyDescent="0.2">
      <c r="A147" s="4"/>
      <c r="B147" s="4" t="s">
        <v>62</v>
      </c>
      <c r="C147" s="141">
        <v>2</v>
      </c>
      <c r="D147" s="1246">
        <v>68.3</v>
      </c>
      <c r="E147" s="65">
        <v>1</v>
      </c>
      <c r="F147" s="176">
        <v>39.26</v>
      </c>
      <c r="G147" s="176">
        <v>29.05</v>
      </c>
      <c r="H147" s="522">
        <f t="shared" si="8"/>
        <v>68.3</v>
      </c>
      <c r="I147" s="151"/>
      <c r="M147">
        <v>1</v>
      </c>
      <c r="N147">
        <v>39.26</v>
      </c>
      <c r="O147">
        <v>29.05</v>
      </c>
    </row>
    <row r="148" spans="1:15" x14ac:dyDescent="0.2">
      <c r="A148" s="4"/>
      <c r="B148" s="53" t="s">
        <v>600</v>
      </c>
      <c r="C148" s="141">
        <v>0.2</v>
      </c>
      <c r="D148" s="1246">
        <v>17.5</v>
      </c>
      <c r="G148" s="1031">
        <v>3.98</v>
      </c>
      <c r="H148" s="522">
        <f t="shared" si="8"/>
        <v>4</v>
      </c>
      <c r="I148" s="151" t="s">
        <v>21</v>
      </c>
    </row>
    <row r="149" spans="1:15" x14ac:dyDescent="0.2">
      <c r="A149" s="4"/>
      <c r="B149" s="4" t="s">
        <v>154</v>
      </c>
      <c r="C149" s="32"/>
      <c r="D149" s="231">
        <v>500</v>
      </c>
      <c r="F149" s="173"/>
      <c r="G149" s="173"/>
      <c r="H149" s="173"/>
      <c r="M149">
        <v>1</v>
      </c>
      <c r="O149">
        <v>3.98</v>
      </c>
    </row>
    <row r="150" spans="1:15" x14ac:dyDescent="0.2">
      <c r="A150" s="4"/>
      <c r="B150" s="4"/>
      <c r="C150" s="32"/>
      <c r="D150" s="137"/>
      <c r="F150" s="173"/>
      <c r="G150" s="173"/>
      <c r="H150" s="173"/>
    </row>
    <row r="151" spans="1:15" ht="17.25" customHeight="1" x14ac:dyDescent="0.2">
      <c r="A151" s="4"/>
      <c r="B151" s="551" t="s">
        <v>101</v>
      </c>
      <c r="C151" s="441"/>
      <c r="E151" s="13"/>
      <c r="F151" s="171" t="s">
        <v>119</v>
      </c>
      <c r="G151" s="171" t="s">
        <v>120</v>
      </c>
      <c r="H151" s="49" t="s">
        <v>86</v>
      </c>
    </row>
    <row r="152" spans="1:15" ht="17.25" customHeight="1" x14ac:dyDescent="0.2">
      <c r="A152" s="4"/>
      <c r="B152" s="52"/>
      <c r="C152" s="174" t="s">
        <v>78</v>
      </c>
      <c r="D152" s="139" t="s">
        <v>21</v>
      </c>
      <c r="E152" s="13"/>
      <c r="F152" s="172" t="s">
        <v>21</v>
      </c>
      <c r="G152" s="172" t="s">
        <v>21</v>
      </c>
      <c r="H152" s="172" t="s">
        <v>21</v>
      </c>
    </row>
    <row r="153" spans="1:15" x14ac:dyDescent="0.2">
      <c r="A153" s="223" t="s">
        <v>24</v>
      </c>
      <c r="B153" s="106" t="s">
        <v>477</v>
      </c>
      <c r="C153" s="32" t="s">
        <v>2</v>
      </c>
      <c r="D153" s="1247">
        <v>41</v>
      </c>
      <c r="E153" s="13"/>
      <c r="F153" s="522"/>
      <c r="G153" s="522"/>
      <c r="H153" s="522"/>
    </row>
    <row r="154" spans="1:15" x14ac:dyDescent="0.2">
      <c r="A154" s="223" t="s">
        <v>109</v>
      </c>
      <c r="B154" s="4" t="s">
        <v>190</v>
      </c>
      <c r="C154" s="141">
        <v>3.8</v>
      </c>
      <c r="D154" s="1247">
        <v>23</v>
      </c>
      <c r="E154" s="13"/>
      <c r="F154" s="522"/>
      <c r="G154" s="522"/>
      <c r="H154" s="522"/>
    </row>
    <row r="155" spans="1:15" x14ac:dyDescent="0.2">
      <c r="A155" s="4"/>
      <c r="B155" s="4" t="s">
        <v>475</v>
      </c>
      <c r="C155" s="141">
        <v>1.8</v>
      </c>
      <c r="D155" s="1247">
        <v>101</v>
      </c>
      <c r="E155" s="13"/>
      <c r="F155" s="522"/>
      <c r="G155" s="522"/>
      <c r="H155" s="522"/>
    </row>
    <row r="156" spans="1:15" x14ac:dyDescent="0.2">
      <c r="A156" s="4"/>
      <c r="B156" s="4" t="s">
        <v>90</v>
      </c>
      <c r="C156" s="141">
        <v>1.6</v>
      </c>
      <c r="D156" s="1247">
        <v>90</v>
      </c>
      <c r="E156" s="13"/>
      <c r="F156" s="522"/>
      <c r="G156" s="522"/>
      <c r="H156" s="522"/>
    </row>
    <row r="157" spans="1:15" x14ac:dyDescent="0.2">
      <c r="A157" s="4"/>
      <c r="B157" s="4" t="s">
        <v>92</v>
      </c>
      <c r="C157" s="525">
        <v>0.1</v>
      </c>
      <c r="D157" s="1247">
        <f t="shared" ref="D157:D158" si="9">H157</f>
        <v>14.1</v>
      </c>
      <c r="F157" s="176">
        <v>11.99</v>
      </c>
      <c r="G157" s="176">
        <v>2.0699999999999998</v>
      </c>
      <c r="H157" s="522">
        <f t="shared" ref="H157:H158" si="10">ROUND(F157+G157,1)</f>
        <v>14.1</v>
      </c>
    </row>
    <row r="158" spans="1:15" x14ac:dyDescent="0.2">
      <c r="A158" s="4"/>
      <c r="B158" s="4" t="s">
        <v>450</v>
      </c>
      <c r="C158" s="525"/>
      <c r="D158" s="1247">
        <f t="shared" si="9"/>
        <v>23.5</v>
      </c>
      <c r="F158" s="1009">
        <v>20.22</v>
      </c>
      <c r="G158" s="1009">
        <v>3.24</v>
      </c>
      <c r="H158" s="522">
        <f t="shared" si="10"/>
        <v>23.5</v>
      </c>
    </row>
    <row r="159" spans="1:15" x14ac:dyDescent="0.2">
      <c r="B159" s="216" t="s">
        <v>449</v>
      </c>
      <c r="C159" s="1006" t="s">
        <v>465</v>
      </c>
      <c r="D159" s="1007">
        <v>150</v>
      </c>
      <c r="H159" s="173"/>
      <c r="I159" s="173"/>
      <c r="J159" s="173"/>
    </row>
    <row r="160" spans="1:15" x14ac:dyDescent="0.2">
      <c r="B160" s="53" t="s">
        <v>600</v>
      </c>
      <c r="C160" s="1006"/>
      <c r="D160" s="1235">
        <f>D148</f>
        <v>17.5</v>
      </c>
      <c r="H160" s="173"/>
      <c r="I160" s="173"/>
      <c r="J160" s="173"/>
    </row>
    <row r="161" spans="1:10" x14ac:dyDescent="0.2">
      <c r="B161" s="53" t="s">
        <v>25</v>
      </c>
      <c r="C161" s="136"/>
      <c r="D161" s="1236">
        <v>500</v>
      </c>
      <c r="H161" s="173"/>
      <c r="I161" s="173"/>
      <c r="J161" s="173"/>
    </row>
    <row r="162" spans="1:10" ht="26.25" x14ac:dyDescent="0.4">
      <c r="A162" s="439" t="s">
        <v>17</v>
      </c>
      <c r="B162" s="437"/>
      <c r="C162" s="441"/>
      <c r="D162" s="442"/>
      <c r="E162" s="442"/>
      <c r="F162" s="442"/>
      <c r="G162" s="437"/>
      <c r="H162" s="437"/>
      <c r="I162" s="437"/>
    </row>
    <row r="163" spans="1:10" x14ac:dyDescent="0.2">
      <c r="C163" s="294" t="s">
        <v>210</v>
      </c>
      <c r="D163" s="49" t="s">
        <v>209</v>
      </c>
    </row>
    <row r="164" spans="1:10" ht="38.25" x14ac:dyDescent="0.2">
      <c r="A164" s="64" t="s">
        <v>207</v>
      </c>
      <c r="B164" s="297" t="s">
        <v>211</v>
      </c>
      <c r="C164" s="24">
        <v>10</v>
      </c>
      <c r="D164" s="65">
        <v>15</v>
      </c>
      <c r="E164" s="151" t="s">
        <v>212</v>
      </c>
    </row>
    <row r="165" spans="1:10" ht="18" customHeight="1" x14ac:dyDescent="0.2">
      <c r="B165" t="s">
        <v>208</v>
      </c>
      <c r="C165" s="295">
        <v>0</v>
      </c>
      <c r="D165" s="296">
        <v>15</v>
      </c>
    </row>
    <row r="166" spans="1:10" x14ac:dyDescent="0.2">
      <c r="C166" s="505">
        <f>SUM(C164:C165)</f>
        <v>10</v>
      </c>
      <c r="D166" s="501">
        <f>((C164*D164)+(C165*D165))/C166</f>
        <v>15</v>
      </c>
    </row>
    <row r="167" spans="1:10" x14ac:dyDescent="0.2">
      <c r="A167" s="64" t="s">
        <v>200</v>
      </c>
      <c r="E167" s="49" t="s">
        <v>197</v>
      </c>
    </row>
    <row r="168" spans="1:10" x14ac:dyDescent="0.2">
      <c r="B168" t="s">
        <v>198</v>
      </c>
      <c r="E168" s="277">
        <v>200</v>
      </c>
      <c r="G168" s="12"/>
    </row>
    <row r="169" spans="1:10" x14ac:dyDescent="0.2">
      <c r="B169" t="s">
        <v>199</v>
      </c>
      <c r="E169" s="277">
        <v>100</v>
      </c>
    </row>
  </sheetData>
  <mergeCells count="6">
    <mergeCell ref="H136:I136"/>
    <mergeCell ref="B2:F2"/>
    <mergeCell ref="A4:B4"/>
    <mergeCell ref="C4:H4"/>
    <mergeCell ref="B3:I3"/>
    <mergeCell ref="B13:H13"/>
  </mergeCells>
  <phoneticPr fontId="24" type="noConversion"/>
  <dataValidations count="2">
    <dataValidation type="custom" showErrorMessage="1" errorTitle="Falsche Bruttofläche" error="Die Bruttofläche entspricht nicht 10000 m2" sqref="J111 B20" xr:uid="{00000000-0002-0000-0100-000000000000}">
      <formula1>B19*B20=10000</formula1>
    </dataValidation>
    <dataValidation type="whole" operator="notEqual" showErrorMessage="1" errorTitle="Falsche Länge" error="Es muss eine Länge eingetragen sein" sqref="J110 E11 B19" xr:uid="{00000000-0002-0000-0100-000001000000}">
      <formula1>0</formula1>
    </dataValidation>
  </dataValidations>
  <pageMargins left="0.78740157499999996" right="0.78740157499999996" top="0.984251969" bottom="0.984251969" header="0.4921259845" footer="0.4921259845"/>
  <pageSetup paperSize="9" scale="53" orientation="portrait" horizontalDpi="360" verticalDpi="360" r:id="rId1"/>
  <headerFooter alignWithMargins="0"/>
  <rowBreaks count="3" manualBreakCount="3">
    <brk id="88" max="8" man="1"/>
    <brk id="126" max="16383" man="1"/>
    <brk id="135" max="16383" man="1"/>
  </rowBreaks>
  <colBreaks count="1" manualBreakCount="1">
    <brk id="7" max="104857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8000"/>
  </sheetPr>
  <dimension ref="A1:H113"/>
  <sheetViews>
    <sheetView workbookViewId="0">
      <selection sqref="A1:XFD1048576"/>
    </sheetView>
  </sheetViews>
  <sheetFormatPr baseColWidth="10" defaultRowHeight="12.75" x14ac:dyDescent="0.2"/>
  <cols>
    <col min="1" max="1" width="32.140625" customWidth="1"/>
    <col min="2" max="2" width="23.5703125" customWidth="1"/>
    <col min="3" max="3" width="11.85546875" customWidth="1"/>
    <col min="4" max="7" width="11.42578125" customWidth="1"/>
    <col min="8" max="8" width="18.85546875" customWidth="1"/>
    <col min="9" max="256" width="9.140625" customWidth="1"/>
  </cols>
  <sheetData>
    <row r="1" spans="1:8" ht="31.5" x14ac:dyDescent="0.4">
      <c r="A1" s="439" t="str">
        <f>'Variante Vorgaben'!A1</f>
        <v>Arbokost 2023</v>
      </c>
      <c r="B1" s="1050"/>
      <c r="C1" s="815"/>
      <c r="D1" s="818"/>
      <c r="E1" s="449"/>
      <c r="F1" s="450"/>
    </row>
    <row r="2" spans="1:8" ht="14.25" x14ac:dyDescent="0.2">
      <c r="A2" s="1167" t="s">
        <v>568</v>
      </c>
      <c r="B2" s="1166"/>
      <c r="C2" s="1165"/>
      <c r="D2" s="1163"/>
      <c r="E2" s="1164"/>
      <c r="F2" s="1163"/>
      <c r="G2" s="1051"/>
      <c r="H2" s="1051"/>
    </row>
    <row r="3" spans="1:8" ht="23.25" customHeight="1" x14ac:dyDescent="0.2">
      <c r="A3" s="1276" t="s">
        <v>567</v>
      </c>
      <c r="B3" s="1276"/>
      <c r="C3" s="1276" t="s">
        <v>566</v>
      </c>
      <c r="D3" s="1276"/>
      <c r="E3" s="1276"/>
      <c r="F3" s="1276"/>
      <c r="G3" s="1276"/>
      <c r="H3" s="1276"/>
    </row>
    <row r="4" spans="1:8" ht="13.5" x14ac:dyDescent="0.25">
      <c r="A4" s="1276" t="s">
        <v>565</v>
      </c>
      <c r="B4" s="1276"/>
      <c r="C4" s="1276"/>
      <c r="D4" s="1276"/>
      <c r="E4" s="1276"/>
      <c r="F4" s="1276"/>
      <c r="G4" s="1276"/>
      <c r="H4" s="1276"/>
    </row>
    <row r="5" spans="1:8" x14ac:dyDescent="0.2">
      <c r="A5" t="s">
        <v>612</v>
      </c>
      <c r="C5" s="1252">
        <v>0.18</v>
      </c>
      <c r="G5" s="1237"/>
      <c r="H5" s="1237"/>
    </row>
    <row r="6" spans="1:8" x14ac:dyDescent="0.2">
      <c r="A6" s="1162"/>
      <c r="B6" s="1161">
        <f>'Variante Vorgaben'!C24</f>
        <v>23</v>
      </c>
      <c r="C6" s="1160">
        <f>'Variante Vorgaben'!C19</f>
        <v>120</v>
      </c>
      <c r="D6" s="1146" t="s">
        <v>11</v>
      </c>
      <c r="E6" s="1159"/>
      <c r="F6" s="1146" t="s">
        <v>12</v>
      </c>
      <c r="G6" s="1158"/>
      <c r="H6" s="1146" t="s">
        <v>197</v>
      </c>
    </row>
    <row r="7" spans="1:8" x14ac:dyDescent="0.2">
      <c r="G7" s="1113"/>
      <c r="H7" s="1093"/>
    </row>
    <row r="8" spans="1:8" x14ac:dyDescent="0.2">
      <c r="A8" s="1117"/>
      <c r="B8" s="1114"/>
      <c r="C8" s="1116"/>
      <c r="D8" s="1093"/>
      <c r="E8" s="1249"/>
      <c r="F8" s="1093"/>
      <c r="G8" s="1113"/>
      <c r="H8" s="1093"/>
    </row>
    <row r="9" spans="1:8" x14ac:dyDescent="0.2">
      <c r="A9" s="1125" t="s">
        <v>552</v>
      </c>
      <c r="B9" s="1123" t="s">
        <v>564</v>
      </c>
      <c r="C9" s="1123"/>
      <c r="D9" s="1156">
        <f>((B6*C6)+50)</f>
        <v>2810</v>
      </c>
      <c r="E9" s="1155"/>
      <c r="F9" s="1190">
        <f>1.35*(1+C5)</f>
        <v>1.593</v>
      </c>
      <c r="G9" s="1127"/>
      <c r="H9" s="1118">
        <f>F9*D9</f>
        <v>4476.33</v>
      </c>
    </row>
    <row r="10" spans="1:8" x14ac:dyDescent="0.2">
      <c r="A10" s="1157" t="s">
        <v>563</v>
      </c>
      <c r="B10" s="1052" t="s">
        <v>562</v>
      </c>
      <c r="C10" s="1123"/>
      <c r="D10" s="1156"/>
      <c r="E10" s="1155"/>
      <c r="F10" s="1127"/>
      <c r="G10" s="1127"/>
      <c r="H10" s="1118"/>
    </row>
    <row r="11" spans="1:8" x14ac:dyDescent="0.2">
      <c r="A11" s="1123"/>
      <c r="B11" s="1154" t="s">
        <v>548</v>
      </c>
      <c r="C11" s="1153"/>
      <c r="D11" s="1105">
        <f>B6</f>
        <v>23</v>
      </c>
      <c r="E11" s="1106"/>
      <c r="F11" s="1072">
        <f>7*(1+C5)</f>
        <v>8.26</v>
      </c>
      <c r="G11" s="1127"/>
      <c r="H11" s="1118">
        <f>F11*D11</f>
        <v>189.98</v>
      </c>
    </row>
    <row r="12" spans="1:8" x14ac:dyDescent="0.2">
      <c r="A12" s="1123"/>
      <c r="B12" s="1052" t="s">
        <v>561</v>
      </c>
      <c r="C12" s="1123"/>
      <c r="D12" s="1105">
        <f>B6</f>
        <v>23</v>
      </c>
      <c r="E12" s="1106"/>
      <c r="F12" s="1072">
        <f>6.5*(1+C5)</f>
        <v>7.67</v>
      </c>
      <c r="G12" s="1127"/>
      <c r="H12" s="1118">
        <f>F12*D12</f>
        <v>176.41</v>
      </c>
    </row>
    <row r="13" spans="1:8" x14ac:dyDescent="0.2">
      <c r="A13" s="1123"/>
      <c r="B13" s="1052" t="s">
        <v>560</v>
      </c>
      <c r="C13" s="1123"/>
      <c r="D13" s="1105">
        <v>5000</v>
      </c>
      <c r="E13" s="1106"/>
      <c r="F13" s="1072">
        <f>0.06*(1+C5)</f>
        <v>7.0799999999999988E-2</v>
      </c>
      <c r="G13" s="1127"/>
      <c r="H13" s="1118">
        <f>F13*D13</f>
        <v>353.99999999999994</v>
      </c>
    </row>
    <row r="14" spans="1:8" ht="13.5" thickBot="1" x14ac:dyDescent="0.25">
      <c r="A14" s="1123"/>
      <c r="B14" s="1123" t="s">
        <v>440</v>
      </c>
      <c r="C14" s="1123"/>
      <c r="D14" s="1105"/>
      <c r="E14" s="1106"/>
      <c r="F14" s="1072"/>
      <c r="G14" s="1127"/>
      <c r="H14" s="1118">
        <v>250</v>
      </c>
    </row>
    <row r="15" spans="1:8" x14ac:dyDescent="0.2">
      <c r="A15" s="1125" t="s">
        <v>545</v>
      </c>
      <c r="B15" s="1125"/>
      <c r="C15" s="1125"/>
      <c r="D15" s="1152"/>
      <c r="E15" s="1102"/>
      <c r="F15" s="1149"/>
      <c r="G15" s="1132"/>
      <c r="H15" s="1131">
        <f>SUM(H9:H14)</f>
        <v>5446.7199999999993</v>
      </c>
    </row>
    <row r="16" spans="1:8" x14ac:dyDescent="0.2">
      <c r="A16" s="1123" t="s">
        <v>544</v>
      </c>
      <c r="B16" s="1123" t="s">
        <v>543</v>
      </c>
      <c r="C16" s="1123"/>
      <c r="D16" s="1105"/>
      <c r="E16" s="1106"/>
      <c r="F16" s="1072"/>
      <c r="G16" s="1127"/>
      <c r="H16" s="1118"/>
    </row>
    <row r="17" spans="1:8" x14ac:dyDescent="0.2">
      <c r="A17" s="1123"/>
      <c r="B17" s="1123" t="s">
        <v>542</v>
      </c>
      <c r="C17" s="1123"/>
      <c r="D17" s="1107">
        <v>300</v>
      </c>
      <c r="E17" s="1106"/>
      <c r="F17" s="1072">
        <f>3.8*(1+C5)</f>
        <v>4.484</v>
      </c>
      <c r="G17" s="1127"/>
      <c r="H17" s="1118">
        <f>F17*D17</f>
        <v>1345.2</v>
      </c>
    </row>
    <row r="18" spans="1:8" x14ac:dyDescent="0.2">
      <c r="A18" s="1123"/>
      <c r="B18" s="1052" t="s">
        <v>541</v>
      </c>
      <c r="C18" s="1123"/>
      <c r="D18" s="1105">
        <v>3</v>
      </c>
      <c r="E18" s="1104"/>
      <c r="F18" s="1072">
        <f>60*(1+C5)</f>
        <v>70.8</v>
      </c>
      <c r="G18" s="1127"/>
      <c r="H18" s="1118">
        <f>F18*D18</f>
        <v>212.39999999999998</v>
      </c>
    </row>
    <row r="19" spans="1:8" ht="13.5" thickBot="1" x14ac:dyDescent="0.25">
      <c r="A19" s="1123"/>
      <c r="B19" s="1123" t="s">
        <v>532</v>
      </c>
      <c r="C19" s="1123"/>
      <c r="D19" s="1079"/>
      <c r="E19" s="1079"/>
      <c r="F19" s="1079"/>
      <c r="G19" s="1123"/>
      <c r="H19" s="1126">
        <v>250</v>
      </c>
    </row>
    <row r="20" spans="1:8" x14ac:dyDescent="0.2">
      <c r="A20" s="1125" t="s">
        <v>540</v>
      </c>
      <c r="B20" s="1054"/>
      <c r="C20" s="1125"/>
      <c r="D20" s="1151"/>
      <c r="E20" s="1150"/>
      <c r="F20" s="1149"/>
      <c r="G20" s="1132"/>
      <c r="H20" s="1124">
        <f>SUM(H17:H19)</f>
        <v>1807.6</v>
      </c>
    </row>
    <row r="21" spans="1:8" x14ac:dyDescent="0.2">
      <c r="A21" s="1123" t="s">
        <v>539</v>
      </c>
      <c r="B21" s="1123" t="s">
        <v>538</v>
      </c>
      <c r="C21" s="1123"/>
      <c r="D21" s="1105">
        <v>1</v>
      </c>
      <c r="E21" s="1104"/>
      <c r="F21" s="1072">
        <f>300*(1+C5)</f>
        <v>354</v>
      </c>
      <c r="G21" s="1127"/>
      <c r="H21" s="1118">
        <f t="shared" ref="H21:H26" si="0">F21*D21</f>
        <v>354</v>
      </c>
    </row>
    <row r="22" spans="1:8" x14ac:dyDescent="0.2">
      <c r="A22" s="1123"/>
      <c r="B22" s="1052" t="s">
        <v>537</v>
      </c>
      <c r="C22" s="1123"/>
      <c r="D22" s="1105">
        <v>1</v>
      </c>
      <c r="E22" s="1104"/>
      <c r="F22" s="1072">
        <f>120*(1+C5)</f>
        <v>141.6</v>
      </c>
      <c r="G22" s="1127"/>
      <c r="H22" s="1118">
        <f t="shared" si="0"/>
        <v>141.6</v>
      </c>
    </row>
    <row r="23" spans="1:8" x14ac:dyDescent="0.2">
      <c r="A23" s="1123"/>
      <c r="B23" s="1123" t="s">
        <v>559</v>
      </c>
      <c r="C23" s="1123"/>
      <c r="D23" s="1105">
        <v>1</v>
      </c>
      <c r="E23" s="1104"/>
      <c r="F23" s="1072">
        <f>75*(1+C5)</f>
        <v>88.5</v>
      </c>
      <c r="G23" s="1127"/>
      <c r="H23" s="1118">
        <f t="shared" si="0"/>
        <v>88.5</v>
      </c>
    </row>
    <row r="24" spans="1:8" x14ac:dyDescent="0.2">
      <c r="A24" s="1123"/>
      <c r="B24" s="1123" t="s">
        <v>535</v>
      </c>
      <c r="C24" s="1123"/>
      <c r="D24" s="1105">
        <v>1</v>
      </c>
      <c r="E24" s="1104"/>
      <c r="F24" s="1072">
        <f>70*(1+C5)</f>
        <v>82.6</v>
      </c>
      <c r="G24" s="1127"/>
      <c r="H24" s="1118">
        <f t="shared" si="0"/>
        <v>82.6</v>
      </c>
    </row>
    <row r="25" spans="1:8" x14ac:dyDescent="0.2">
      <c r="A25" s="1123"/>
      <c r="B25" s="1123" t="s">
        <v>534</v>
      </c>
      <c r="C25" s="1123"/>
      <c r="D25" s="1105">
        <v>2</v>
      </c>
      <c r="E25" s="1104"/>
      <c r="F25" s="1072">
        <f>130*(1+C5)</f>
        <v>153.4</v>
      </c>
      <c r="G25" s="1127"/>
      <c r="H25" s="1118">
        <f t="shared" si="0"/>
        <v>306.8</v>
      </c>
    </row>
    <row r="26" spans="1:8" x14ac:dyDescent="0.2">
      <c r="A26" s="1123"/>
      <c r="B26" s="1123" t="s">
        <v>533</v>
      </c>
      <c r="C26" s="1123"/>
      <c r="D26" s="1105">
        <v>1</v>
      </c>
      <c r="E26" s="1104"/>
      <c r="F26" s="1072">
        <f>350*(1+C5)</f>
        <v>413</v>
      </c>
      <c r="G26" s="1127"/>
      <c r="H26" s="1118">
        <f t="shared" si="0"/>
        <v>413</v>
      </c>
    </row>
    <row r="27" spans="1:8" ht="13.5" thickBot="1" x14ac:dyDescent="0.25">
      <c r="A27" s="1123"/>
      <c r="B27" s="1052" t="s">
        <v>532</v>
      </c>
      <c r="C27" s="1123"/>
      <c r="D27" s="1079"/>
      <c r="E27" s="1079"/>
      <c r="F27" s="1079"/>
      <c r="G27" s="1123"/>
      <c r="H27" s="1118">
        <v>100</v>
      </c>
    </row>
    <row r="28" spans="1:8" x14ac:dyDescent="0.2">
      <c r="A28" s="1125" t="s">
        <v>531</v>
      </c>
      <c r="B28" s="1054"/>
      <c r="C28" s="1125"/>
      <c r="D28" s="1151"/>
      <c r="E28" s="1150"/>
      <c r="F28" s="1149"/>
      <c r="G28" s="1132"/>
      <c r="H28" s="1131">
        <f>SUM(H21:H27)</f>
        <v>1486.5</v>
      </c>
    </row>
    <row r="29" spans="1:8" x14ac:dyDescent="0.2">
      <c r="A29" s="1123"/>
      <c r="B29" s="1123"/>
      <c r="C29" s="1123"/>
      <c r="D29" s="1105"/>
      <c r="E29" s="1104"/>
      <c r="F29" s="1072"/>
      <c r="G29" s="1127"/>
      <c r="H29" s="1118"/>
    </row>
    <row r="30" spans="1:8" ht="13.5" thickBot="1" x14ac:dyDescent="0.25">
      <c r="A30" s="1123" t="s">
        <v>529</v>
      </c>
      <c r="B30" s="1123" t="s">
        <v>528</v>
      </c>
      <c r="C30" s="1123"/>
      <c r="D30" s="1105">
        <v>1</v>
      </c>
      <c r="E30" s="1104"/>
      <c r="F30" s="1072">
        <f>1250*(1+C5)</f>
        <v>1475</v>
      </c>
      <c r="G30" s="1127"/>
      <c r="H30" s="1118"/>
    </row>
    <row r="31" spans="1:8" x14ac:dyDescent="0.2">
      <c r="A31" s="1125" t="s">
        <v>558</v>
      </c>
      <c r="B31" s="1054"/>
      <c r="C31" s="1125"/>
      <c r="D31" s="1134"/>
      <c r="E31" s="1148"/>
      <c r="F31" s="1132"/>
      <c r="G31" s="1132"/>
      <c r="H31" s="1131">
        <f>H15+H20+H28+H29+H30</f>
        <v>8740.82</v>
      </c>
    </row>
    <row r="32" spans="1:8" x14ac:dyDescent="0.2">
      <c r="A32" s="1123" t="s">
        <v>526</v>
      </c>
      <c r="B32" s="1052"/>
      <c r="C32" s="1123"/>
      <c r="D32" s="1130"/>
      <c r="E32" s="1143"/>
      <c r="F32" s="1127"/>
      <c r="G32" s="1127"/>
      <c r="H32" s="1118"/>
    </row>
    <row r="33" spans="1:8" x14ac:dyDescent="0.2">
      <c r="A33" s="1123"/>
      <c r="B33" s="1052" t="s">
        <v>64</v>
      </c>
      <c r="C33" s="1147"/>
      <c r="D33" s="1146" t="s">
        <v>11</v>
      </c>
      <c r="E33" s="1146" t="s">
        <v>525</v>
      </c>
      <c r="F33" s="1146" t="s">
        <v>524</v>
      </c>
      <c r="G33" s="1146"/>
      <c r="H33" s="1146" t="s">
        <v>197</v>
      </c>
    </row>
    <row r="34" spans="1:8" x14ac:dyDescent="0.2">
      <c r="A34" s="1123"/>
      <c r="B34" s="1052"/>
      <c r="C34" s="1123"/>
      <c r="D34" s="1130"/>
      <c r="E34" s="1143"/>
      <c r="F34" s="1127"/>
      <c r="G34" s="1145" t="s">
        <v>21</v>
      </c>
      <c r="H34" s="1144" t="s">
        <v>86</v>
      </c>
    </row>
    <row r="35" spans="1:8" ht="23.25" customHeight="1" x14ac:dyDescent="0.2">
      <c r="A35" s="1123" t="s">
        <v>522</v>
      </c>
      <c r="B35" s="1052" t="s">
        <v>521</v>
      </c>
      <c r="C35" s="1123"/>
      <c r="D35" s="1130"/>
      <c r="E35" s="1081">
        <v>10</v>
      </c>
      <c r="F35" s="1081">
        <v>2</v>
      </c>
      <c r="G35" s="1127"/>
      <c r="H35" s="1118"/>
    </row>
    <row r="36" spans="1:8" ht="26.25" customHeight="1" x14ac:dyDescent="0.2">
      <c r="A36" s="1125"/>
      <c r="B36" s="1123" t="s">
        <v>520</v>
      </c>
      <c r="C36" s="1142">
        <v>6.5</v>
      </c>
      <c r="D36" s="1087">
        <f>D17</f>
        <v>300</v>
      </c>
      <c r="E36" s="1081"/>
      <c r="F36" s="1081"/>
      <c r="G36" s="1138">
        <f>C36</f>
        <v>6.5</v>
      </c>
      <c r="H36" s="1118">
        <f>G36*D36</f>
        <v>1950</v>
      </c>
    </row>
    <row r="37" spans="1:8" ht="14.25" customHeight="1" x14ac:dyDescent="0.2">
      <c r="A37" s="1123"/>
      <c r="B37" s="1123" t="s">
        <v>519</v>
      </c>
      <c r="C37" s="1140"/>
      <c r="D37" s="1086">
        <v>1</v>
      </c>
      <c r="E37" s="1081">
        <v>25</v>
      </c>
      <c r="F37" s="1081">
        <v>4</v>
      </c>
      <c r="G37" s="1138">
        <v>13.6</v>
      </c>
      <c r="H37" s="1118">
        <f>G37*F37</f>
        <v>54.4</v>
      </c>
    </row>
    <row r="38" spans="1:8" ht="14.25" customHeight="1" x14ac:dyDescent="0.2">
      <c r="A38" s="1123"/>
      <c r="B38" s="1123" t="s">
        <v>518</v>
      </c>
      <c r="C38" s="1141"/>
      <c r="D38" s="1086"/>
      <c r="E38" s="1081">
        <v>35</v>
      </c>
      <c r="F38" s="1081"/>
      <c r="G38" s="1138"/>
      <c r="H38" s="1118"/>
    </row>
    <row r="39" spans="1:8" ht="14.25" customHeight="1" x14ac:dyDescent="0.2">
      <c r="A39" s="1123"/>
      <c r="B39" s="1123" t="s">
        <v>516</v>
      </c>
      <c r="C39" s="1141"/>
      <c r="D39" s="1086"/>
      <c r="E39" s="1081">
        <v>18</v>
      </c>
      <c r="F39" s="1081"/>
      <c r="G39" s="1138"/>
      <c r="H39" s="1118"/>
    </row>
    <row r="40" spans="1:8" ht="14.25" customHeight="1" x14ac:dyDescent="0.2">
      <c r="A40" s="1123"/>
      <c r="B40" s="1123" t="s">
        <v>515</v>
      </c>
      <c r="C40" s="1140"/>
      <c r="D40" s="1085"/>
      <c r="E40" s="1081">
        <v>3</v>
      </c>
      <c r="F40" s="1081"/>
      <c r="G40" s="1138"/>
      <c r="H40" s="1118"/>
    </row>
    <row r="41" spans="1:8" ht="14.25" customHeight="1" x14ac:dyDescent="0.2">
      <c r="A41" s="1123"/>
      <c r="B41" s="1123" t="s">
        <v>449</v>
      </c>
      <c r="C41" s="1139">
        <v>125</v>
      </c>
      <c r="D41" s="1073">
        <v>3</v>
      </c>
      <c r="E41" s="1081">
        <v>3</v>
      </c>
      <c r="F41" s="1079"/>
      <c r="G41" s="1138">
        <v>3</v>
      </c>
      <c r="H41" s="1118">
        <f>G41*C41</f>
        <v>375</v>
      </c>
    </row>
    <row r="42" spans="1:8" ht="14.25" customHeight="1" thickBot="1" x14ac:dyDescent="0.25">
      <c r="A42" s="1125" t="s">
        <v>514</v>
      </c>
      <c r="B42" s="1137">
        <v>0.1</v>
      </c>
      <c r="C42" s="1136" t="s">
        <v>513</v>
      </c>
      <c r="D42" s="1079"/>
      <c r="E42" s="1081">
        <f>SUM(E35:E41)*B42</f>
        <v>9.4</v>
      </c>
      <c r="F42" s="1081">
        <f>SUM(F35:F41)*B42</f>
        <v>0.60000000000000009</v>
      </c>
      <c r="G42" s="1135"/>
      <c r="H42" s="1118"/>
    </row>
    <row r="43" spans="1:8" ht="14.25" customHeight="1" x14ac:dyDescent="0.2">
      <c r="A43" s="1125" t="s">
        <v>512</v>
      </c>
      <c r="B43" s="1125"/>
      <c r="C43" s="1125"/>
      <c r="D43" s="1134"/>
      <c r="E43" s="1251">
        <f>SUM(E35:E42)</f>
        <v>103.4</v>
      </c>
      <c r="F43" s="1250">
        <f>SUM(F35:F42)</f>
        <v>6.6</v>
      </c>
      <c r="G43" s="1132"/>
      <c r="H43" s="1131">
        <f>SUM(H35:H42)</f>
        <v>2379.4</v>
      </c>
    </row>
    <row r="44" spans="1:8" ht="14.25" customHeight="1" x14ac:dyDescent="0.2">
      <c r="A44" s="1123" t="s">
        <v>511</v>
      </c>
      <c r="B44" s="1123"/>
      <c r="C44" s="1123"/>
      <c r="D44" s="1130"/>
      <c r="E44" s="1129"/>
      <c r="F44" s="1127"/>
      <c r="G44" s="1127"/>
      <c r="H44" s="1118"/>
    </row>
    <row r="45" spans="1:8" ht="14.25" customHeight="1" x14ac:dyDescent="0.2">
      <c r="A45" s="1123" t="s">
        <v>510</v>
      </c>
      <c r="B45" s="1123"/>
      <c r="C45" s="1123"/>
      <c r="D45" s="1130"/>
      <c r="E45" s="1129"/>
      <c r="F45" s="1127"/>
      <c r="G45" s="1127"/>
      <c r="H45" s="1118">
        <f>H31</f>
        <v>8740.82</v>
      </c>
    </row>
    <row r="46" spans="1:8" ht="14.25" customHeight="1" x14ac:dyDescent="0.2">
      <c r="A46" s="1123" t="s">
        <v>509</v>
      </c>
      <c r="B46" s="1123" t="s">
        <v>508</v>
      </c>
      <c r="C46" s="1123" t="s">
        <v>507</v>
      </c>
      <c r="D46" s="1105">
        <f>F43</f>
        <v>6.6</v>
      </c>
      <c r="E46" s="1104" t="s">
        <v>504</v>
      </c>
      <c r="F46" s="1072">
        <v>27.5</v>
      </c>
      <c r="G46" s="1127"/>
      <c r="H46" s="1118">
        <f>((D46*F46)+H43)</f>
        <v>2560.9</v>
      </c>
    </row>
    <row r="47" spans="1:8" ht="14.25" customHeight="1" thickBot="1" x14ac:dyDescent="0.25">
      <c r="A47" s="1123" t="s">
        <v>506</v>
      </c>
      <c r="B47" s="1123"/>
      <c r="C47" s="1123" t="s">
        <v>505</v>
      </c>
      <c r="D47" s="1105">
        <f>E43</f>
        <v>103.4</v>
      </c>
      <c r="E47" s="1104" t="s">
        <v>504</v>
      </c>
      <c r="F47" s="1072">
        <f>'[1]Variante Vorgaben'!C36</f>
        <v>32.700000000000003</v>
      </c>
      <c r="G47" s="1127"/>
      <c r="H47" s="1126">
        <f>D47*F47</f>
        <v>3381.1800000000003</v>
      </c>
    </row>
    <row r="48" spans="1:8" ht="14.25" customHeight="1" x14ac:dyDescent="0.2">
      <c r="A48" s="1125" t="s">
        <v>557</v>
      </c>
      <c r="B48" s="1123"/>
      <c r="C48" s="1123"/>
      <c r="D48" s="1105"/>
      <c r="E48" s="1104"/>
      <c r="F48" s="1072"/>
      <c r="G48" s="1127"/>
      <c r="H48" s="1124">
        <f>SUM(H45:H47)</f>
        <v>14682.9</v>
      </c>
    </row>
    <row r="49" spans="1:8" ht="14.25" customHeight="1" x14ac:dyDescent="0.2">
      <c r="A49" s="1123" t="s">
        <v>495</v>
      </c>
      <c r="B49" s="1123"/>
      <c r="C49" s="1123" t="s">
        <v>494</v>
      </c>
      <c r="D49" s="1105"/>
      <c r="E49" s="1104"/>
      <c r="F49" s="1072"/>
      <c r="G49" s="1127"/>
      <c r="H49" s="1118">
        <v>50</v>
      </c>
    </row>
    <row r="50" spans="1:8" ht="24" customHeight="1" x14ac:dyDescent="0.2">
      <c r="A50" s="1123" t="s">
        <v>493</v>
      </c>
      <c r="B50" s="1123"/>
      <c r="C50" s="1122" t="s">
        <v>492</v>
      </c>
      <c r="D50" s="1058"/>
      <c r="E50" s="1128">
        <v>4</v>
      </c>
      <c r="F50" s="1062">
        <f>'[1]Variante Vorgaben'!C36</f>
        <v>32.700000000000003</v>
      </c>
      <c r="G50" s="1119"/>
      <c r="H50" s="1118">
        <f>E50*F50</f>
        <v>130.80000000000001</v>
      </c>
    </row>
    <row r="51" spans="1:8" ht="14.25" customHeight="1" x14ac:dyDescent="0.2">
      <c r="A51" s="1123"/>
      <c r="B51" s="1123"/>
      <c r="C51" s="1122" t="s">
        <v>556</v>
      </c>
      <c r="D51" s="1058"/>
      <c r="E51" s="1128"/>
      <c r="F51" s="1062"/>
      <c r="G51" s="1119"/>
      <c r="H51" s="1118">
        <v>300</v>
      </c>
    </row>
    <row r="52" spans="1:8" ht="14.25" customHeight="1" x14ac:dyDescent="0.2">
      <c r="A52" s="1123"/>
      <c r="B52" s="1123"/>
      <c r="C52" s="1122" t="s">
        <v>491</v>
      </c>
      <c r="D52" s="1058"/>
      <c r="E52" s="1128">
        <v>10</v>
      </c>
      <c r="F52" s="1062">
        <f>'[1]Variante Vorgaben'!C36</f>
        <v>32.700000000000003</v>
      </c>
      <c r="G52" s="1119"/>
      <c r="H52" s="1118">
        <f>E52*F52</f>
        <v>327</v>
      </c>
    </row>
    <row r="53" spans="1:8" ht="14.25" customHeight="1" thickBot="1" x14ac:dyDescent="0.25">
      <c r="A53" s="1123"/>
      <c r="B53" s="1123"/>
      <c r="C53" s="1123" t="s">
        <v>490</v>
      </c>
      <c r="D53" s="1105"/>
      <c r="E53" s="1057">
        <f>'[1]Variante Vorgaben'!C227</f>
        <v>500</v>
      </c>
      <c r="F53" s="1071">
        <f>'[1]Variante Vorgaben'!C226</f>
        <v>1</v>
      </c>
      <c r="G53" s="1127"/>
      <c r="H53" s="1126">
        <f>E53*F53</f>
        <v>500</v>
      </c>
    </row>
    <row r="54" spans="1:8" ht="14.25" customHeight="1" x14ac:dyDescent="0.2">
      <c r="A54" s="1125" t="s">
        <v>555</v>
      </c>
      <c r="B54" s="1123"/>
      <c r="C54" s="1122"/>
      <c r="D54" s="1121"/>
      <c r="E54" s="1120"/>
      <c r="F54" s="1119"/>
      <c r="G54" s="1119"/>
      <c r="H54" s="1124">
        <f>SUM(H49:H53)</f>
        <v>1307.8</v>
      </c>
    </row>
    <row r="55" spans="1:8" x14ac:dyDescent="0.2">
      <c r="A55" s="1123" t="s">
        <v>488</v>
      </c>
      <c r="B55" s="1123"/>
      <c r="C55" s="1122"/>
      <c r="D55" s="1121"/>
      <c r="E55" s="1120"/>
      <c r="F55" s="1119"/>
      <c r="G55" s="1119"/>
      <c r="H55" s="1118"/>
    </row>
    <row r="56" spans="1:8" ht="15" customHeight="1" x14ac:dyDescent="0.2">
      <c r="A56" s="1123" t="s">
        <v>487</v>
      </c>
      <c r="B56" s="1123"/>
      <c r="C56" s="1122"/>
      <c r="D56" s="1121"/>
      <c r="E56" s="1120"/>
      <c r="F56" s="1119"/>
      <c r="G56" s="1119"/>
      <c r="H56" s="1118"/>
    </row>
    <row r="57" spans="1:8" x14ac:dyDescent="0.2">
      <c r="A57" s="1051"/>
      <c r="B57" s="1051"/>
      <c r="C57" s="1051"/>
      <c r="D57" s="1051"/>
      <c r="E57" s="1051"/>
      <c r="F57" s="1051"/>
      <c r="G57" s="1051"/>
      <c r="H57" s="1051"/>
    </row>
    <row r="58" spans="1:8" x14ac:dyDescent="0.2">
      <c r="A58" s="1051"/>
      <c r="B58" s="1051"/>
      <c r="C58" s="1051"/>
      <c r="D58" s="1051"/>
      <c r="E58" s="1051"/>
      <c r="F58" s="1051"/>
      <c r="G58" s="1051"/>
      <c r="H58" s="1051"/>
    </row>
    <row r="59" spans="1:8" x14ac:dyDescent="0.2">
      <c r="A59" s="1276" t="s">
        <v>554</v>
      </c>
      <c r="B59" s="1276"/>
      <c r="C59" s="1276"/>
      <c r="D59" s="1276"/>
      <c r="E59" s="1276"/>
      <c r="F59" s="1276"/>
      <c r="G59" s="1276"/>
      <c r="H59" s="1276"/>
    </row>
    <row r="60" spans="1:8" x14ac:dyDescent="0.2">
      <c r="A60" s="1117" t="s">
        <v>553</v>
      </c>
      <c r="B60" s="1117"/>
      <c r="C60" s="1116">
        <f>'Variante Vorgaben'!C20</f>
        <v>75</v>
      </c>
      <c r="D60" s="1115">
        <f>'Variante Vorgaben'!C19</f>
        <v>120</v>
      </c>
      <c r="E60" s="1114">
        <f>'Variante Vorgaben'!C24</f>
        <v>23</v>
      </c>
      <c r="F60" s="1113">
        <f>'Variante Vorgaben'!C22</f>
        <v>3.3</v>
      </c>
      <c r="G60" s="1113"/>
      <c r="H60" s="1112">
        <f>'Variante Vorgaben'!C23</f>
        <v>1.45</v>
      </c>
    </row>
    <row r="61" spans="1:8" x14ac:dyDescent="0.2">
      <c r="A61" s="1052" t="s">
        <v>552</v>
      </c>
      <c r="B61" s="1052" t="s">
        <v>551</v>
      </c>
      <c r="C61" s="1052"/>
      <c r="D61" s="1107">
        <f>((E60*D60)+50)</f>
        <v>2810</v>
      </c>
      <c r="E61" s="1110"/>
      <c r="F61" s="1072">
        <f>0.9*(1+C5)</f>
        <v>1.0620000000000001</v>
      </c>
      <c r="G61" s="1071"/>
      <c r="H61" s="1060">
        <f>F61*D61</f>
        <v>2984.2200000000003</v>
      </c>
    </row>
    <row r="62" spans="1:8" x14ac:dyDescent="0.2">
      <c r="A62" s="1111"/>
      <c r="B62" s="1052" t="s">
        <v>550</v>
      </c>
      <c r="C62" s="1052"/>
      <c r="D62" s="1105">
        <f>ROUND(((D60/H60)+1)*E60,0)/2</f>
        <v>963</v>
      </c>
      <c r="E62" s="1110" t="s">
        <v>549</v>
      </c>
      <c r="F62" s="1072">
        <f>2.6*(1+C5)</f>
        <v>3.0680000000000001</v>
      </c>
      <c r="G62" s="1071"/>
      <c r="H62" s="1060">
        <f>F62*D62</f>
        <v>2954.4839999999999</v>
      </c>
    </row>
    <row r="63" spans="1:8" x14ac:dyDescent="0.2">
      <c r="A63" s="1052"/>
      <c r="B63" s="1109" t="s">
        <v>548</v>
      </c>
      <c r="C63" s="1108"/>
      <c r="D63" s="1105">
        <f>E60</f>
        <v>23</v>
      </c>
      <c r="E63" s="1106"/>
      <c r="F63" s="1072">
        <f>20.65*(1+C5)</f>
        <v>24.366999999999997</v>
      </c>
      <c r="G63" s="1071"/>
      <c r="H63" s="1060">
        <f>F63*D63</f>
        <v>560.44099999999992</v>
      </c>
    </row>
    <row r="64" spans="1:8" x14ac:dyDescent="0.2">
      <c r="A64" s="1052"/>
      <c r="B64" s="1052" t="s">
        <v>547</v>
      </c>
      <c r="C64" s="1052"/>
      <c r="D64" s="1105">
        <f>E60</f>
        <v>23</v>
      </c>
      <c r="E64" s="1106"/>
      <c r="F64" s="1072">
        <f>8.5*(1+C5)</f>
        <v>10.029999999999999</v>
      </c>
      <c r="G64" s="1071"/>
      <c r="H64" s="1060">
        <f>F64*D64</f>
        <v>230.69</v>
      </c>
    </row>
    <row r="65" spans="1:8" x14ac:dyDescent="0.2">
      <c r="A65" s="1052"/>
      <c r="B65" s="1052" t="s">
        <v>546</v>
      </c>
      <c r="C65" s="1052"/>
      <c r="D65" s="1105">
        <f>D61</f>
        <v>2810</v>
      </c>
      <c r="E65" s="1106"/>
      <c r="F65" s="1072">
        <f>0.078*(1+C5)</f>
        <v>9.2039999999999997E-2</v>
      </c>
      <c r="G65" s="1071"/>
      <c r="H65" s="1060">
        <f>F65*D65</f>
        <v>258.63240000000002</v>
      </c>
    </row>
    <row r="66" spans="1:8" ht="13.5" thickBot="1" x14ac:dyDescent="0.25">
      <c r="A66" s="1052"/>
      <c r="B66" s="1052" t="s">
        <v>440</v>
      </c>
      <c r="C66" s="1052"/>
      <c r="D66" s="1105"/>
      <c r="E66" s="1106"/>
      <c r="F66" s="1072"/>
      <c r="G66" s="1071"/>
      <c r="H66" s="1055">
        <v>250</v>
      </c>
    </row>
    <row r="67" spans="1:8" x14ac:dyDescent="0.2">
      <c r="A67" s="1054" t="s">
        <v>545</v>
      </c>
      <c r="B67" s="1054"/>
      <c r="C67" s="1054"/>
      <c r="D67" s="1103"/>
      <c r="E67" s="1102"/>
      <c r="F67" s="1102"/>
      <c r="G67" s="1095"/>
      <c r="H67" s="1053">
        <f>SUM(H61:H66)</f>
        <v>7238.4673999999995</v>
      </c>
    </row>
    <row r="68" spans="1:8" x14ac:dyDescent="0.2">
      <c r="A68" s="1052" t="s">
        <v>544</v>
      </c>
      <c r="B68" s="1052" t="s">
        <v>543</v>
      </c>
      <c r="C68" s="1052"/>
      <c r="D68" s="1105"/>
      <c r="E68" s="1106"/>
      <c r="F68" s="1072"/>
      <c r="G68" s="1071"/>
      <c r="H68" s="1060"/>
    </row>
    <row r="69" spans="1:8" x14ac:dyDescent="0.2">
      <c r="A69" s="1052"/>
      <c r="B69" s="1052" t="s">
        <v>542</v>
      </c>
      <c r="C69" s="1052"/>
      <c r="D69" s="1107">
        <v>300</v>
      </c>
      <c r="E69" s="1106"/>
      <c r="F69" s="1072">
        <f>3.8*(1+C5)</f>
        <v>4.484</v>
      </c>
      <c r="G69" s="1071"/>
      <c r="H69" s="1060">
        <f>F69*D69</f>
        <v>1345.2</v>
      </c>
    </row>
    <row r="70" spans="1:8" x14ac:dyDescent="0.2">
      <c r="A70" s="1052"/>
      <c r="B70" s="1052" t="s">
        <v>541</v>
      </c>
      <c r="C70" s="1052"/>
      <c r="D70" s="1105">
        <v>2</v>
      </c>
      <c r="E70" s="1104"/>
      <c r="F70" s="1072">
        <f>55*(1+C5)</f>
        <v>64.899999999999991</v>
      </c>
      <c r="G70" s="1071"/>
      <c r="H70" s="1060">
        <f>F70*D70</f>
        <v>129.79999999999998</v>
      </c>
    </row>
    <row r="71" spans="1:8" ht="13.5" thickBot="1" x14ac:dyDescent="0.25">
      <c r="A71" s="1052"/>
      <c r="B71" s="1052" t="s">
        <v>532</v>
      </c>
      <c r="C71" s="1052"/>
      <c r="D71" s="1079"/>
      <c r="E71" s="1079"/>
      <c r="F71" s="1079"/>
      <c r="G71" s="1052"/>
      <c r="H71" s="1055">
        <v>250</v>
      </c>
    </row>
    <row r="72" spans="1:8" x14ac:dyDescent="0.2">
      <c r="A72" s="1054" t="s">
        <v>540</v>
      </c>
      <c r="B72" s="1054"/>
      <c r="C72" s="1054"/>
      <c r="D72" s="1103"/>
      <c r="E72" s="1102"/>
      <c r="F72" s="1102"/>
      <c r="G72" s="1095"/>
      <c r="H72" s="1053">
        <f>SUM(H69:H71)</f>
        <v>1725</v>
      </c>
    </row>
    <row r="73" spans="1:8" x14ac:dyDescent="0.2">
      <c r="A73" s="1052" t="s">
        <v>539</v>
      </c>
      <c r="B73" s="1052" t="s">
        <v>538</v>
      </c>
      <c r="C73" s="1052"/>
      <c r="D73" s="1105">
        <v>1</v>
      </c>
      <c r="E73" s="1104"/>
      <c r="F73" s="1072">
        <f>300*(1+C5)</f>
        <v>354</v>
      </c>
      <c r="G73" s="1071"/>
      <c r="H73" s="1060">
        <f t="shared" ref="H73:H78" si="1">F73*D73</f>
        <v>354</v>
      </c>
    </row>
    <row r="74" spans="1:8" x14ac:dyDescent="0.2">
      <c r="A74" s="1052"/>
      <c r="B74" s="1052" t="s">
        <v>537</v>
      </c>
      <c r="C74" s="1052"/>
      <c r="D74" s="1105">
        <v>1</v>
      </c>
      <c r="E74" s="1104"/>
      <c r="F74" s="1072">
        <f>120*(1+C5)</f>
        <v>141.6</v>
      </c>
      <c r="G74" s="1071"/>
      <c r="H74" s="1060">
        <f t="shared" si="1"/>
        <v>141.6</v>
      </c>
    </row>
    <row r="75" spans="1:8" x14ac:dyDescent="0.2">
      <c r="A75" s="1052"/>
      <c r="B75" s="1052" t="s">
        <v>536</v>
      </c>
      <c r="C75" s="1052"/>
      <c r="D75" s="1105">
        <v>1</v>
      </c>
      <c r="E75" s="1104"/>
      <c r="F75" s="1072">
        <f>190*(1+C5)</f>
        <v>224.2</v>
      </c>
      <c r="G75" s="1071"/>
      <c r="H75" s="1060">
        <f t="shared" si="1"/>
        <v>224.2</v>
      </c>
    </row>
    <row r="76" spans="1:8" x14ac:dyDescent="0.2">
      <c r="A76" s="1052"/>
      <c r="B76" s="1052" t="s">
        <v>535</v>
      </c>
      <c r="C76" s="1052"/>
      <c r="D76" s="1105">
        <v>1</v>
      </c>
      <c r="E76" s="1104"/>
      <c r="F76" s="1072">
        <f>70*(1+C5)</f>
        <v>82.6</v>
      </c>
      <c r="G76" s="1071"/>
      <c r="H76" s="1060">
        <f t="shared" si="1"/>
        <v>82.6</v>
      </c>
    </row>
    <row r="77" spans="1:8" x14ac:dyDescent="0.2">
      <c r="A77" s="1052"/>
      <c r="B77" s="1052" t="s">
        <v>534</v>
      </c>
      <c r="C77" s="1052"/>
      <c r="D77" s="1105">
        <v>4</v>
      </c>
      <c r="E77" s="1104"/>
      <c r="F77" s="1072">
        <f>130*(1+C5)</f>
        <v>153.4</v>
      </c>
      <c r="G77" s="1071"/>
      <c r="H77" s="1060">
        <f t="shared" si="1"/>
        <v>613.6</v>
      </c>
    </row>
    <row r="78" spans="1:8" x14ac:dyDescent="0.2">
      <c r="A78" s="1052"/>
      <c r="B78" s="1052" t="s">
        <v>533</v>
      </c>
      <c r="C78" s="1052"/>
      <c r="D78" s="1105">
        <v>1</v>
      </c>
      <c r="E78" s="1104"/>
      <c r="F78" s="1072">
        <f>350*(1+C5)</f>
        <v>413</v>
      </c>
      <c r="G78" s="1071"/>
      <c r="H78" s="1060">
        <f t="shared" si="1"/>
        <v>413</v>
      </c>
    </row>
    <row r="79" spans="1:8" ht="13.5" thickBot="1" x14ac:dyDescent="0.25">
      <c r="A79" s="1052"/>
      <c r="B79" s="1052" t="s">
        <v>532</v>
      </c>
      <c r="C79" s="1052"/>
      <c r="D79" s="1079"/>
      <c r="E79" s="1079"/>
      <c r="F79" s="1079"/>
      <c r="G79" s="1052"/>
      <c r="H79" s="1055">
        <v>100</v>
      </c>
    </row>
    <row r="80" spans="1:8" x14ac:dyDescent="0.2">
      <c r="A80" s="1054" t="s">
        <v>531</v>
      </c>
      <c r="B80" s="1054"/>
      <c r="C80" s="1054"/>
      <c r="D80" s="1103"/>
      <c r="E80" s="1102"/>
      <c r="F80" s="1102"/>
      <c r="G80" s="1095"/>
      <c r="H80" s="1053">
        <f>SUM(H73:H78)</f>
        <v>1829</v>
      </c>
    </row>
    <row r="81" spans="1:8" x14ac:dyDescent="0.2">
      <c r="A81" s="1101" t="s">
        <v>529</v>
      </c>
      <c r="B81" s="1101" t="s">
        <v>530</v>
      </c>
      <c r="C81" s="1101"/>
      <c r="D81" s="1100">
        <v>1</v>
      </c>
      <c r="E81" s="1099"/>
      <c r="F81" s="1098">
        <v>1580</v>
      </c>
      <c r="G81" s="1097"/>
      <c r="H81" s="1053"/>
    </row>
    <row r="82" spans="1:8" x14ac:dyDescent="0.2">
      <c r="A82" s="1101" t="s">
        <v>529</v>
      </c>
      <c r="B82" s="1101" t="s">
        <v>528</v>
      </c>
      <c r="C82" s="1101"/>
      <c r="D82" s="1100">
        <v>1</v>
      </c>
      <c r="E82" s="1099"/>
      <c r="F82" s="1098">
        <v>2250</v>
      </c>
      <c r="G82" s="1097"/>
      <c r="H82" s="1096"/>
    </row>
    <row r="83" spans="1:8" x14ac:dyDescent="0.2">
      <c r="A83" s="1054" t="s">
        <v>527</v>
      </c>
      <c r="B83" s="1054"/>
      <c r="C83" s="1054"/>
      <c r="D83" s="1054"/>
      <c r="E83" s="1095"/>
      <c r="F83" s="1095"/>
      <c r="G83" s="1095"/>
      <c r="H83" s="1053">
        <f>H67+H72+H80+H81+H82</f>
        <v>10792.4674</v>
      </c>
    </row>
    <row r="84" spans="1:8" x14ac:dyDescent="0.2">
      <c r="A84" s="1054" t="s">
        <v>526</v>
      </c>
      <c r="B84" s="1052"/>
      <c r="C84" s="1052"/>
      <c r="D84" s="1052"/>
      <c r="E84" s="1052"/>
      <c r="F84" s="1052"/>
      <c r="G84" s="1052"/>
      <c r="H84" s="1060"/>
    </row>
    <row r="85" spans="1:8" x14ac:dyDescent="0.2">
      <c r="A85" s="1054"/>
      <c r="B85" s="1054" t="s">
        <v>64</v>
      </c>
      <c r="C85" s="1093"/>
      <c r="D85" s="1093"/>
      <c r="E85" s="1092" t="s">
        <v>525</v>
      </c>
      <c r="F85" s="1092" t="s">
        <v>524</v>
      </c>
      <c r="G85" s="1092"/>
      <c r="H85" s="1094" t="s">
        <v>523</v>
      </c>
    </row>
    <row r="86" spans="1:8" x14ac:dyDescent="0.2">
      <c r="A86" s="1054"/>
      <c r="B86" s="1054"/>
      <c r="C86" s="1093"/>
      <c r="D86" s="1093"/>
      <c r="E86" s="1092"/>
      <c r="F86" s="1092"/>
      <c r="G86" s="1091" t="s">
        <v>21</v>
      </c>
      <c r="H86" s="1090" t="s">
        <v>86</v>
      </c>
    </row>
    <row r="87" spans="1:8" x14ac:dyDescent="0.2">
      <c r="A87" s="1052" t="s">
        <v>522</v>
      </c>
      <c r="B87" s="1052" t="s">
        <v>521</v>
      </c>
      <c r="C87" s="1080"/>
      <c r="D87" s="1089"/>
      <c r="E87" s="1081">
        <v>10</v>
      </c>
      <c r="F87" s="1081">
        <v>2</v>
      </c>
      <c r="G87" s="1083"/>
      <c r="H87" s="1060"/>
    </row>
    <row r="88" spans="1:8" x14ac:dyDescent="0.2">
      <c r="A88" s="1054"/>
      <c r="B88" s="1052" t="s">
        <v>520</v>
      </c>
      <c r="C88" s="1088">
        <v>6.5</v>
      </c>
      <c r="D88" s="1087">
        <f>D69</f>
        <v>300</v>
      </c>
      <c r="E88" s="1081"/>
      <c r="F88" s="1081"/>
      <c r="G88" s="1083">
        <f>C88</f>
        <v>6.5</v>
      </c>
      <c r="H88" s="1060">
        <f>G88*D88</f>
        <v>1950</v>
      </c>
    </row>
    <row r="89" spans="1:8" x14ac:dyDescent="0.2">
      <c r="A89" s="1052"/>
      <c r="B89" s="1052" t="s">
        <v>519</v>
      </c>
      <c r="C89" s="1077"/>
      <c r="D89" s="1086">
        <v>1</v>
      </c>
      <c r="E89" s="1081">
        <v>25</v>
      </c>
      <c r="F89" s="1081">
        <v>4</v>
      </c>
      <c r="G89" s="1083">
        <v>13.6</v>
      </c>
      <c r="H89" s="1060">
        <f>G89*F89</f>
        <v>54.4</v>
      </c>
    </row>
    <row r="90" spans="1:8" x14ac:dyDescent="0.2">
      <c r="A90" s="1052"/>
      <c r="B90" s="1052" t="s">
        <v>518</v>
      </c>
      <c r="C90" s="1080"/>
      <c r="D90" s="1086"/>
      <c r="E90" s="1081">
        <v>35</v>
      </c>
      <c r="F90" s="1081"/>
      <c r="G90" s="1083"/>
      <c r="H90" s="1060"/>
    </row>
    <row r="91" spans="1:8" x14ac:dyDescent="0.2">
      <c r="A91" s="1052"/>
      <c r="B91" s="1052" t="s">
        <v>517</v>
      </c>
      <c r="C91" s="1080"/>
      <c r="D91" s="1086"/>
      <c r="E91" s="1081">
        <v>10</v>
      </c>
      <c r="F91" s="1081"/>
      <c r="G91" s="1083"/>
      <c r="H91" s="1060"/>
    </row>
    <row r="92" spans="1:8" x14ac:dyDescent="0.2">
      <c r="A92" s="1052"/>
      <c r="B92" s="1052" t="s">
        <v>516</v>
      </c>
      <c r="C92" s="1080"/>
      <c r="D92" s="1086"/>
      <c r="E92" s="1081">
        <v>18</v>
      </c>
      <c r="F92" s="1081"/>
      <c r="G92" s="1083"/>
      <c r="H92" s="1060"/>
    </row>
    <row r="93" spans="1:8" x14ac:dyDescent="0.2">
      <c r="A93" s="1052"/>
      <c r="B93" s="1052" t="s">
        <v>515</v>
      </c>
      <c r="C93" s="1077"/>
      <c r="D93" s="1085"/>
      <c r="E93" s="1081">
        <v>3</v>
      </c>
      <c r="F93" s="1081"/>
      <c r="G93" s="1083"/>
      <c r="H93" s="1060"/>
    </row>
    <row r="94" spans="1:8" x14ac:dyDescent="0.2">
      <c r="A94" s="1052"/>
      <c r="B94" s="1052" t="s">
        <v>449</v>
      </c>
      <c r="C94" s="1084">
        <v>125</v>
      </c>
      <c r="D94" s="1073">
        <v>3</v>
      </c>
      <c r="E94" s="1081">
        <v>3</v>
      </c>
      <c r="F94" s="1079"/>
      <c r="G94" s="1083">
        <v>3</v>
      </c>
      <c r="H94" s="1060">
        <f>G94*C94</f>
        <v>375</v>
      </c>
    </row>
    <row r="95" spans="1:8" x14ac:dyDescent="0.2">
      <c r="A95" s="1054" t="s">
        <v>514</v>
      </c>
      <c r="B95" s="1082">
        <v>0.1</v>
      </c>
      <c r="C95" s="1080" t="s">
        <v>513</v>
      </c>
      <c r="D95" s="1079"/>
      <c r="E95" s="1081">
        <f>SUM(E87:E94)*B95</f>
        <v>10.4</v>
      </c>
      <c r="F95" s="1081">
        <f>SUM(F87:F94)*B95</f>
        <v>0.60000000000000009</v>
      </c>
      <c r="G95" s="1081"/>
      <c r="H95" s="1060"/>
    </row>
    <row r="96" spans="1:8" x14ac:dyDescent="0.2">
      <c r="A96" s="1054" t="s">
        <v>512</v>
      </c>
      <c r="B96" s="1052"/>
      <c r="C96" s="1080"/>
      <c r="D96" s="1079"/>
      <c r="E96" s="1078">
        <f>SUM(E87:E95)</f>
        <v>114.4</v>
      </c>
      <c r="F96" s="1078">
        <f>SUM(F87:F95)</f>
        <v>6.6</v>
      </c>
      <c r="G96" s="1078"/>
      <c r="H96" s="1053">
        <f>SUM(H87:H95)</f>
        <v>2379.4</v>
      </c>
    </row>
    <row r="97" spans="1:8" x14ac:dyDescent="0.2">
      <c r="A97" s="1054" t="s">
        <v>511</v>
      </c>
      <c r="B97" s="1052"/>
      <c r="C97" s="1077"/>
      <c r="D97" s="1052"/>
      <c r="E97" s="1052"/>
      <c r="F97" s="1077"/>
      <c r="G97" s="1077"/>
      <c r="H97" s="1076"/>
    </row>
    <row r="98" spans="1:8" x14ac:dyDescent="0.2">
      <c r="A98" s="1054" t="s">
        <v>510</v>
      </c>
      <c r="B98" s="1052"/>
      <c r="C98" s="1052"/>
      <c r="D98" s="1075"/>
      <c r="E98" s="1074"/>
      <c r="F98" s="1052"/>
      <c r="G98" s="1052"/>
      <c r="H98" s="1060">
        <f>H83</f>
        <v>10792.4674</v>
      </c>
    </row>
    <row r="99" spans="1:8" x14ac:dyDescent="0.2">
      <c r="A99" s="1054" t="s">
        <v>509</v>
      </c>
      <c r="B99" s="1054" t="s">
        <v>508</v>
      </c>
      <c r="C99" s="1052" t="s">
        <v>507</v>
      </c>
      <c r="D99" s="1073">
        <f>F96</f>
        <v>6.6</v>
      </c>
      <c r="E99" s="1069" t="s">
        <v>504</v>
      </c>
      <c r="F99" s="1072">
        <v>27.5</v>
      </c>
      <c r="G99" s="1071"/>
      <c r="H99" s="1060">
        <f>((D99*F99)+H96)</f>
        <v>2560.9</v>
      </c>
    </row>
    <row r="100" spans="1:8" ht="13.5" thickBot="1" x14ac:dyDescent="0.25">
      <c r="A100" s="1054" t="s">
        <v>506</v>
      </c>
      <c r="B100" s="1052"/>
      <c r="C100" s="1052" t="s">
        <v>505</v>
      </c>
      <c r="D100" s="1073">
        <f>E96</f>
        <v>114.4</v>
      </c>
      <c r="E100" s="1069" t="s">
        <v>504</v>
      </c>
      <c r="F100" s="1072">
        <v>35</v>
      </c>
      <c r="G100" s="1071"/>
      <c r="H100" s="1055">
        <f>D100*F100</f>
        <v>4004</v>
      </c>
    </row>
    <row r="101" spans="1:8" x14ac:dyDescent="0.2">
      <c r="A101" s="1054" t="s">
        <v>503</v>
      </c>
      <c r="B101" s="1054"/>
      <c r="C101" s="1054"/>
      <c r="D101" s="1054"/>
      <c r="E101" s="1054"/>
      <c r="F101" s="1054"/>
      <c r="G101" s="1054"/>
      <c r="H101" s="1053">
        <f>SUM(H98:H100)</f>
        <v>17357.367399999999</v>
      </c>
    </row>
    <row r="102" spans="1:8" x14ac:dyDescent="0.2">
      <c r="A102" s="1054" t="s">
        <v>502</v>
      </c>
      <c r="B102" s="1052"/>
      <c r="C102" s="1052"/>
      <c r="D102" s="1052"/>
      <c r="E102" s="1052"/>
      <c r="F102" s="1052"/>
      <c r="G102" s="1052"/>
      <c r="H102" s="1060"/>
    </row>
    <row r="103" spans="1:8" x14ac:dyDescent="0.2">
      <c r="A103" s="1052" t="s">
        <v>501</v>
      </c>
      <c r="B103" s="1052" t="s">
        <v>500</v>
      </c>
      <c r="C103" s="1188">
        <f>Eingabeseite!D29</f>
        <v>1.4999999999999999E-2</v>
      </c>
      <c r="D103" s="1062">
        <f>H98</f>
        <v>10792.4674</v>
      </c>
      <c r="E103" s="1069" t="s">
        <v>498</v>
      </c>
      <c r="F103" s="1068">
        <v>60</v>
      </c>
      <c r="G103" s="1067"/>
      <c r="H103" s="1060">
        <f>(D103/100*F103)/100*C103</f>
        <v>0.97132206599999993</v>
      </c>
    </row>
    <row r="104" spans="1:8" x14ac:dyDescent="0.2">
      <c r="A104" s="1052"/>
      <c r="B104" s="1052" t="s">
        <v>499</v>
      </c>
      <c r="C104" s="1188">
        <f>Eingabeseite!D29</f>
        <v>1.4999999999999999E-2</v>
      </c>
      <c r="D104" s="1062">
        <f>H88+H94</f>
        <v>2325</v>
      </c>
      <c r="E104" s="1069" t="s">
        <v>498</v>
      </c>
      <c r="F104" s="1068">
        <v>60</v>
      </c>
      <c r="G104" s="1067"/>
      <c r="H104" s="1060">
        <f>(D104/100*F104)/100*C104</f>
        <v>0.20924999999999999</v>
      </c>
    </row>
    <row r="105" spans="1:8" x14ac:dyDescent="0.2">
      <c r="A105" s="1052" t="s">
        <v>497</v>
      </c>
      <c r="B105" s="1052"/>
      <c r="C105" s="1066">
        <f>D103</f>
        <v>10792.4674</v>
      </c>
      <c r="D105" s="1052" t="s">
        <v>496</v>
      </c>
      <c r="E105" s="1052"/>
      <c r="F105" s="1052"/>
      <c r="G105" s="1052"/>
      <c r="H105" s="1060">
        <f>C105/15</f>
        <v>719.49782666666658</v>
      </c>
    </row>
    <row r="106" spans="1:8" x14ac:dyDescent="0.2">
      <c r="A106" s="1052" t="s">
        <v>495</v>
      </c>
      <c r="B106" s="1052"/>
      <c r="C106" s="1059" t="s">
        <v>494</v>
      </c>
      <c r="D106" s="1065"/>
      <c r="E106" s="1064"/>
      <c r="F106" s="1061"/>
      <c r="G106" s="1061"/>
      <c r="H106" s="1060">
        <v>50</v>
      </c>
    </row>
    <row r="107" spans="1:8" x14ac:dyDescent="0.2">
      <c r="A107" s="1052" t="s">
        <v>493</v>
      </c>
      <c r="B107" s="1052"/>
      <c r="C107" s="1059" t="s">
        <v>492</v>
      </c>
      <c r="D107" s="1058"/>
      <c r="E107" s="1063">
        <f>E50</f>
        <v>4</v>
      </c>
      <c r="F107" s="1062">
        <f>'[1]Variante Vorgaben'!$C$36</f>
        <v>32.700000000000003</v>
      </c>
      <c r="G107" s="1061"/>
      <c r="H107" s="1060">
        <f>E107*F107</f>
        <v>130.80000000000001</v>
      </c>
    </row>
    <row r="108" spans="1:8" x14ac:dyDescent="0.2">
      <c r="A108" s="1052"/>
      <c r="B108" s="1052"/>
      <c r="C108" s="1059" t="s">
        <v>491</v>
      </c>
      <c r="D108" s="1058"/>
      <c r="E108" s="1063">
        <f>E52</f>
        <v>10</v>
      </c>
      <c r="F108" s="1062">
        <f>'[1]Variante Vorgaben'!$C$36</f>
        <v>32.700000000000003</v>
      </c>
      <c r="G108" s="1061"/>
      <c r="H108" s="1060">
        <f>E108*F108</f>
        <v>327</v>
      </c>
    </row>
    <row r="109" spans="1:8" ht="13.5" thickBot="1" x14ac:dyDescent="0.25">
      <c r="A109" s="1052"/>
      <c r="B109" s="1052"/>
      <c r="C109" s="1059" t="s">
        <v>490</v>
      </c>
      <c r="D109" s="1058"/>
      <c r="E109" s="1189">
        <v>500</v>
      </c>
      <c r="F109" s="1187">
        <f>'[1]Variante Vorgaben'!C226</f>
        <v>1</v>
      </c>
      <c r="G109" s="1056"/>
      <c r="H109" s="1055">
        <f>E109*F109</f>
        <v>500</v>
      </c>
    </row>
    <row r="110" spans="1:8" x14ac:dyDescent="0.2">
      <c r="A110" s="1054" t="s">
        <v>489</v>
      </c>
      <c r="B110" s="1054"/>
      <c r="C110" s="1054"/>
      <c r="D110" s="1054"/>
      <c r="E110" s="1054"/>
      <c r="F110" s="1054"/>
      <c r="G110" s="1054"/>
      <c r="H110" s="1053">
        <f>SUM(H102:H109)</f>
        <v>1728.4783987326666</v>
      </c>
    </row>
    <row r="111" spans="1:8" x14ac:dyDescent="0.2">
      <c r="A111" s="1052" t="s">
        <v>488</v>
      </c>
      <c r="B111" s="1052"/>
      <c r="C111" s="1052"/>
      <c r="D111" s="1052"/>
      <c r="E111" s="1052"/>
      <c r="F111" s="1052"/>
      <c r="G111" s="1052"/>
      <c r="H111" s="1052"/>
    </row>
    <row r="112" spans="1:8" x14ac:dyDescent="0.2">
      <c r="A112" s="1052" t="s">
        <v>487</v>
      </c>
      <c r="B112" s="1052"/>
      <c r="C112" s="1052"/>
      <c r="D112" s="1052"/>
      <c r="E112" s="1052"/>
      <c r="F112" s="1052"/>
      <c r="G112" s="1052"/>
      <c r="H112" s="1052"/>
    </row>
    <row r="113" spans="1:8" x14ac:dyDescent="0.2">
      <c r="A113" s="1051"/>
      <c r="B113" s="1051"/>
      <c r="C113" s="1051"/>
      <c r="D113" s="1051"/>
      <c r="E113" s="1051"/>
      <c r="F113" s="1051"/>
      <c r="G113" s="1051"/>
      <c r="H113" s="1051"/>
    </row>
  </sheetData>
  <mergeCells count="3">
    <mergeCell ref="A59:H59"/>
    <mergeCell ref="A3:H3"/>
    <mergeCell ref="A4:H4"/>
  </mergeCells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&amp;LArbokost 2008&amp;RAgroscope Changins - Wädenswil ACW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VarianteErstellung">
    <tabColor rgb="FF008000"/>
  </sheetPr>
  <dimension ref="A1:AO157"/>
  <sheetViews>
    <sheetView zoomScale="75" workbookViewId="0">
      <selection activeCell="D52" sqref="D52:D58"/>
    </sheetView>
  </sheetViews>
  <sheetFormatPr baseColWidth="10" defaultRowHeight="12.75" x14ac:dyDescent="0.2"/>
  <cols>
    <col min="1" max="1" width="31.7109375" customWidth="1"/>
    <col min="2" max="2" width="27.7109375" customWidth="1"/>
    <col min="3" max="3" width="14.5703125" customWidth="1"/>
    <col min="4" max="4" width="20.5703125" customWidth="1"/>
    <col min="5" max="5" width="17.7109375" customWidth="1"/>
    <col min="6" max="6" width="13.5703125" customWidth="1"/>
    <col min="7" max="7" width="13.7109375" customWidth="1"/>
    <col min="8" max="8" width="12.7109375" style="17" customWidth="1"/>
    <col min="9" max="9" width="13" style="17" customWidth="1"/>
    <col min="10" max="10" width="11.42578125" style="17" customWidth="1"/>
    <col min="11" max="11" width="12.7109375" style="17" customWidth="1"/>
    <col min="12" max="41" width="11.42578125" style="17" customWidth="1"/>
  </cols>
  <sheetData>
    <row r="1" spans="1:41" ht="45.75" customHeight="1" x14ac:dyDescent="0.3">
      <c r="A1" s="1036" t="str">
        <f>'Variante Vorgaben'!A1</f>
        <v>Arbokost 2023</v>
      </c>
      <c r="B1" s="593" t="str">
        <f>'Variante Vorgaben'!B8</f>
        <v>Tafelbirnen</v>
      </c>
      <c r="C1" s="448"/>
      <c r="D1" s="448"/>
      <c r="E1" s="450"/>
      <c r="F1" s="453"/>
      <c r="G1" s="447"/>
    </row>
    <row r="2" spans="1:41" ht="24.75" customHeight="1" x14ac:dyDescent="0.3">
      <c r="A2" s="871" t="s">
        <v>241</v>
      </c>
      <c r="B2" s="638">
        <f>'Variante Vorgaben'!B11</f>
        <v>2000</v>
      </c>
      <c r="C2" s="448"/>
      <c r="D2" s="448"/>
      <c r="E2" s="450"/>
      <c r="F2" s="453"/>
      <c r="G2" s="447"/>
    </row>
    <row r="3" spans="1:41" ht="60" customHeight="1" x14ac:dyDescent="0.2">
      <c r="A3" s="436" t="str">
        <f>'Variante Vorgaben'!A3</f>
        <v>Definition Variante:</v>
      </c>
      <c r="B3" s="1273" t="str">
        <f>'Variante Vorgaben'!B3:I3</f>
        <v>Zeitgemässe Tafelbirnenanlage auf schwachwachsender Unterlage. Werte sind ausgelegt auf gemischtwirtschaftliche Betriebe mit 2 - 5 ha Obstfläche, an geeigneten Standort in einem der Hauptproduktionsgebiete der Schweiz.</v>
      </c>
      <c r="C3" s="1274"/>
      <c r="D3" s="1274"/>
      <c r="E3" s="1274"/>
      <c r="F3" s="1274"/>
      <c r="G3" s="1274"/>
    </row>
    <row r="4" spans="1:41" ht="20.25" customHeight="1" x14ac:dyDescent="0.25">
      <c r="A4" s="454"/>
      <c r="B4" s="638"/>
      <c r="C4" s="1279"/>
      <c r="D4" s="1274"/>
      <c r="E4" s="1274"/>
      <c r="F4" s="1274"/>
      <c r="G4" s="1274"/>
      <c r="H4" s="195"/>
    </row>
    <row r="5" spans="1:41" s="1" customFormat="1" ht="34.5" customHeight="1" x14ac:dyDescent="0.35">
      <c r="A5" s="808" t="s">
        <v>425</v>
      </c>
      <c r="B5" s="547"/>
      <c r="C5" s="809"/>
      <c r="D5" s="547"/>
      <c r="E5" s="810"/>
      <c r="F5" s="547"/>
      <c r="G5" s="547"/>
    </row>
    <row r="6" spans="1:41" s="1" customFormat="1" ht="15" customHeight="1" x14ac:dyDescent="0.2">
      <c r="A6" s="1253" t="str">
        <f>'Variante Bewässerung'!A5</f>
        <v>Teuerung 2015-2023 (Baumaterialien gemäss Bundesamt für Statistik)</v>
      </c>
      <c r="C6" s="1254">
        <f>'Variante Bewässerung'!C5</f>
        <v>0.18</v>
      </c>
      <c r="E6" s="882"/>
      <c r="G6" s="331" t="s">
        <v>110</v>
      </c>
    </row>
    <row r="7" spans="1:41" ht="24" customHeight="1" x14ac:dyDescent="0.3">
      <c r="A7" s="506" t="s">
        <v>424</v>
      </c>
      <c r="B7" s="556"/>
      <c r="C7" s="556"/>
      <c r="D7" s="556"/>
      <c r="E7" s="1280" t="s">
        <v>480</v>
      </c>
      <c r="F7" s="1272"/>
      <c r="G7" s="1272"/>
    </row>
    <row r="8" spans="1:41" s="16" customFormat="1" x14ac:dyDescent="0.2">
      <c r="A8" s="1"/>
      <c r="B8" s="3"/>
      <c r="C8" s="22" t="s">
        <v>11</v>
      </c>
      <c r="D8" s="22" t="s">
        <v>12</v>
      </c>
      <c r="E8" s="129" t="s">
        <v>13</v>
      </c>
      <c r="F8" s="130"/>
      <c r="G8" s="22"/>
      <c r="H8" s="21"/>
      <c r="I8" s="101"/>
      <c r="J8" s="10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</row>
    <row r="9" spans="1:41" x14ac:dyDescent="0.2">
      <c r="A9" s="3" t="s">
        <v>8</v>
      </c>
      <c r="B9" s="1"/>
      <c r="C9" s="181">
        <f>'Variante Vorgaben'!B25</f>
        <v>2000</v>
      </c>
      <c r="D9" s="62">
        <f>'Variante Vorgaben'!C32</f>
        <v>10</v>
      </c>
      <c r="E9" s="77">
        <f t="shared" ref="E9:E16" si="0">C9*D9</f>
        <v>20000</v>
      </c>
      <c r="F9" s="230">
        <f t="shared" ref="F9:F17" si="1">E9/$E$48</f>
        <v>0.51055042366215486</v>
      </c>
    </row>
    <row r="10" spans="1:41" x14ac:dyDescent="0.2">
      <c r="A10" s="3" t="s">
        <v>157</v>
      </c>
      <c r="B10" s="1" t="s">
        <v>183</v>
      </c>
      <c r="C10" s="181">
        <f>2*'Variante Vorgaben'!C24</f>
        <v>46</v>
      </c>
      <c r="D10" s="89">
        <f>14*(1+C6)</f>
        <v>16.52</v>
      </c>
      <c r="E10" s="120">
        <f t="shared" si="0"/>
        <v>759.92</v>
      </c>
      <c r="F10" s="230">
        <f t="shared" si="1"/>
        <v>1.9398873897467236E-2</v>
      </c>
    </row>
    <row r="11" spans="1:41" x14ac:dyDescent="0.2">
      <c r="A11" s="3"/>
      <c r="B11" s="1" t="s">
        <v>184</v>
      </c>
      <c r="C11" s="143">
        <f>((ROUND('Variante Vorgaben'!C19/7,0))-1)*'Variante Vorgaben'!C24</f>
        <v>368</v>
      </c>
      <c r="D11" s="89">
        <f>10*(1+C6)</f>
        <v>11.799999999999999</v>
      </c>
      <c r="E11" s="43">
        <f t="shared" si="0"/>
        <v>4342.3999999999996</v>
      </c>
      <c r="F11" s="230">
        <f t="shared" si="1"/>
        <v>0.11085070798552707</v>
      </c>
    </row>
    <row r="12" spans="1:41" x14ac:dyDescent="0.2">
      <c r="A12" s="3"/>
      <c r="B12" s="1" t="s">
        <v>185</v>
      </c>
      <c r="C12" s="181">
        <f>C9</f>
        <v>2000</v>
      </c>
      <c r="D12" s="89">
        <f>1.35*(1+C6)</f>
        <v>1.593</v>
      </c>
      <c r="E12" s="43">
        <f t="shared" si="0"/>
        <v>3186</v>
      </c>
      <c r="F12" s="230">
        <f t="shared" si="1"/>
        <v>8.1330682489381273E-2</v>
      </c>
      <c r="G12" s="114"/>
    </row>
    <row r="13" spans="1:41" x14ac:dyDescent="0.2">
      <c r="A13" s="3"/>
      <c r="B13" s="1" t="s">
        <v>186</v>
      </c>
      <c r="C13" s="143">
        <f>C10</f>
        <v>46</v>
      </c>
      <c r="D13" s="89">
        <f>5.2*(1+C6)</f>
        <v>6.1360000000000001</v>
      </c>
      <c r="E13" s="43">
        <f t="shared" si="0"/>
        <v>282.25600000000003</v>
      </c>
      <c r="F13" s="230">
        <f t="shared" si="1"/>
        <v>7.2052960190592602E-3</v>
      </c>
      <c r="G13" s="114"/>
    </row>
    <row r="14" spans="1:41" x14ac:dyDescent="0.2">
      <c r="A14" s="3"/>
      <c r="B14" s="1" t="s">
        <v>187</v>
      </c>
      <c r="C14" s="268">
        <f>'Variante Vorgaben'!C19*'Variante Vorgaben'!C24</f>
        <v>2760</v>
      </c>
      <c r="D14" s="89">
        <f>0.16*(1+C6)</f>
        <v>0.1888</v>
      </c>
      <c r="E14" s="60">
        <f t="shared" si="0"/>
        <v>521.08799999999997</v>
      </c>
      <c r="F14" s="230">
        <f t="shared" si="1"/>
        <v>1.3302084958263249E-2</v>
      </c>
      <c r="G14" s="114"/>
    </row>
    <row r="15" spans="1:41" x14ac:dyDescent="0.2">
      <c r="A15" s="3"/>
      <c r="B15" s="1" t="s">
        <v>188</v>
      </c>
      <c r="C15" s="144">
        <v>6</v>
      </c>
      <c r="D15" s="89">
        <f>5.5*(1+C6)</f>
        <v>6.4899999999999993</v>
      </c>
      <c r="E15" s="60">
        <f t="shared" si="0"/>
        <v>38.94</v>
      </c>
      <c r="F15" s="230">
        <f t="shared" si="1"/>
        <v>9.9404167487021546E-4</v>
      </c>
      <c r="G15" s="114"/>
    </row>
    <row r="16" spans="1:41" x14ac:dyDescent="0.2">
      <c r="A16" s="3"/>
      <c r="B16" s="1" t="s">
        <v>189</v>
      </c>
      <c r="C16" s="181">
        <f>C9</f>
        <v>2000</v>
      </c>
      <c r="D16" s="89">
        <f>0.2*(1+C6)</f>
        <v>0.23599999999999999</v>
      </c>
      <c r="E16" s="118">
        <f t="shared" si="0"/>
        <v>472</v>
      </c>
      <c r="F16" s="230">
        <f t="shared" si="1"/>
        <v>1.2048989998426856E-2</v>
      </c>
      <c r="G16" s="114"/>
    </row>
    <row r="17" spans="1:7" ht="13.5" customHeight="1" x14ac:dyDescent="0.2">
      <c r="A17" s="3"/>
      <c r="B17" s="1"/>
      <c r="C17" s="6"/>
      <c r="D17" s="30"/>
      <c r="E17" s="269">
        <f>SUM(E10:E16)</f>
        <v>9602.6039999999994</v>
      </c>
      <c r="F17" s="230">
        <f t="shared" si="1"/>
        <v>0.24513067702299515</v>
      </c>
      <c r="G17" s="114"/>
    </row>
    <row r="18" spans="1:7" x14ac:dyDescent="0.2">
      <c r="A18" s="3" t="s">
        <v>17</v>
      </c>
      <c r="B18" s="1"/>
      <c r="C18" s="557">
        <f>'Variante Vorgaben'!C112</f>
        <v>0</v>
      </c>
      <c r="D18" s="62">
        <f>'Variante Vorgaben'!C110</f>
        <v>0.43</v>
      </c>
      <c r="E18" s="43">
        <f>C18*D18</f>
        <v>0</v>
      </c>
      <c r="F18" s="132">
        <f>E18/E48</f>
        <v>0</v>
      </c>
      <c r="G18" s="5"/>
    </row>
    <row r="19" spans="1:7" x14ac:dyDescent="0.2">
      <c r="A19" s="3"/>
      <c r="B19" s="110"/>
      <c r="C19" s="557">
        <f>'Variante Vorgaben'!B112</f>
        <v>0</v>
      </c>
      <c r="D19" s="62">
        <f>'Variante Vorgaben'!B110</f>
        <v>0.95</v>
      </c>
      <c r="E19" s="43">
        <f>C19*D19</f>
        <v>0</v>
      </c>
      <c r="F19" s="132">
        <f>E19/E48</f>
        <v>0</v>
      </c>
      <c r="G19" s="5"/>
    </row>
    <row r="20" spans="1:7" x14ac:dyDescent="0.2">
      <c r="A20" s="1"/>
      <c r="B20" s="1" t="s">
        <v>34</v>
      </c>
      <c r="C20" s="144">
        <v>40</v>
      </c>
      <c r="D20" s="89">
        <v>7.2</v>
      </c>
      <c r="E20" s="43">
        <f>C20*D20</f>
        <v>288</v>
      </c>
      <c r="F20" s="132">
        <f>E20/E48</f>
        <v>7.3519261007350305E-3</v>
      </c>
      <c r="G20" s="5"/>
    </row>
    <row r="21" spans="1:7" x14ac:dyDescent="0.2">
      <c r="A21" s="1"/>
      <c r="B21" s="1" t="s">
        <v>18</v>
      </c>
      <c r="C21" s="6"/>
      <c r="D21" s="46"/>
      <c r="E21" s="89">
        <v>125</v>
      </c>
      <c r="F21" s="132">
        <f>E21/E48</f>
        <v>3.1909401478884681E-3</v>
      </c>
      <c r="G21" s="5"/>
    </row>
    <row r="22" spans="1:7" x14ac:dyDescent="0.2">
      <c r="A22" s="1"/>
      <c r="B22" s="1" t="s">
        <v>158</v>
      </c>
      <c r="C22" s="6"/>
      <c r="D22" s="46"/>
      <c r="E22" s="140">
        <v>500</v>
      </c>
      <c r="F22" s="132">
        <f>E22/E48</f>
        <v>1.2763760591553873E-2</v>
      </c>
      <c r="G22" s="5"/>
    </row>
    <row r="23" spans="1:7" x14ac:dyDescent="0.2">
      <c r="A23" s="1"/>
      <c r="B23" s="1"/>
      <c r="C23" s="1"/>
      <c r="D23" s="62"/>
      <c r="E23" s="77">
        <f>SUM(E18:E22)</f>
        <v>913</v>
      </c>
      <c r="F23" s="230">
        <f>E23/E48</f>
        <v>2.3306626840177373E-2</v>
      </c>
      <c r="G23" s="5"/>
    </row>
    <row r="24" spans="1:7" ht="15.75" x14ac:dyDescent="0.25">
      <c r="A24" s="443" t="s">
        <v>255</v>
      </c>
      <c r="B24" s="437"/>
      <c r="C24" s="558"/>
      <c r="D24" s="559"/>
      <c r="E24" s="560">
        <f>E23+E17+E9</f>
        <v>30515.603999999999</v>
      </c>
      <c r="F24" s="561">
        <f>E24/E48</f>
        <v>0.77898772752532741</v>
      </c>
      <c r="G24" s="811"/>
    </row>
    <row r="25" spans="1:7" x14ac:dyDescent="0.2">
      <c r="A25" s="3"/>
      <c r="B25" s="1"/>
      <c r="C25" s="123" t="s">
        <v>78</v>
      </c>
      <c r="D25" s="128" t="s">
        <v>21</v>
      </c>
      <c r="E25" s="124" t="s">
        <v>13</v>
      </c>
      <c r="F25" s="132"/>
      <c r="G25" s="5"/>
    </row>
    <row r="26" spans="1:7" x14ac:dyDescent="0.2">
      <c r="A26" s="3" t="s">
        <v>23</v>
      </c>
      <c r="B26" s="1" t="str">
        <f>'Variante Vorgaben'!B154</f>
        <v>Pflug 2scharig</v>
      </c>
      <c r="C26" s="47">
        <f>'Variante Vorgaben'!C154</f>
        <v>3.8</v>
      </c>
      <c r="D26" s="562">
        <f>'Variante Vorgaben'!D154*(1+Eingabeseite!$C$25)</f>
        <v>23.001023107166198</v>
      </c>
      <c r="E26" s="43">
        <f>C26*D26</f>
        <v>87.403887807231541</v>
      </c>
      <c r="F26" s="132">
        <f>E26/E48</f>
        <v>2.2312045974850758E-3</v>
      </c>
      <c r="G26" s="5"/>
    </row>
    <row r="27" spans="1:7" x14ac:dyDescent="0.2">
      <c r="A27" s="232"/>
      <c r="B27" s="1" t="str">
        <f>'Variante Vorgaben'!B155</f>
        <v>Kreiselegge mit Packerwalze, 3 m</v>
      </c>
      <c r="C27" s="47">
        <f>'Variante Vorgaben'!C155</f>
        <v>1.8</v>
      </c>
      <c r="D27" s="562">
        <f>'Variante Vorgaben'!D155*(1+Eingabeseite!$C$25)</f>
        <v>101.00449277494722</v>
      </c>
      <c r="E27" s="43">
        <f>C27*D27</f>
        <v>181.80808699490501</v>
      </c>
      <c r="F27" s="132">
        <f>E27/E48</f>
        <v>4.6411097920227339E-3</v>
      </c>
      <c r="G27" s="5"/>
    </row>
    <row r="28" spans="1:7" x14ac:dyDescent="0.2">
      <c r="A28" s="201">
        <v>2</v>
      </c>
      <c r="B28" s="1" t="str">
        <f>'Variante Vorgaben'!B144</f>
        <v>Düngerstreuer Einkasten 2.5 m</v>
      </c>
      <c r="C28" s="47">
        <f>'Variante Vorgaben'!C156*A28</f>
        <v>3.2</v>
      </c>
      <c r="D28" s="562">
        <f>'Variante Vorgaben'!D144*(1+Eingabeseite!$C$25)</f>
        <v>18.000800692564852</v>
      </c>
      <c r="E28" s="43">
        <f>C28*D28</f>
        <v>57.602562216207531</v>
      </c>
      <c r="F28" s="132">
        <f>E28/E48</f>
        <v>1.4704506271755195E-3</v>
      </c>
      <c r="G28" s="5"/>
    </row>
    <row r="29" spans="1:7" x14ac:dyDescent="0.2">
      <c r="A29" s="1"/>
      <c r="B29" s="1" t="str">
        <f>'Variante Vorgaben'!B156</f>
        <v>Sämaschine 3 m</v>
      </c>
      <c r="C29" s="47">
        <f>'Variante Vorgaben'!C156</f>
        <v>1.6</v>
      </c>
      <c r="D29" s="562">
        <f>'Variante Vorgaben'!D156*(1+Eingabeseite!$C$25)</f>
        <v>90.004003462824258</v>
      </c>
      <c r="E29" s="43">
        <f>C29*D29</f>
        <v>144.00640554051881</v>
      </c>
      <c r="F29" s="132">
        <f>E29/E48</f>
        <v>3.6761265679387985E-3</v>
      </c>
      <c r="G29" s="5"/>
    </row>
    <row r="30" spans="1:7" x14ac:dyDescent="0.2">
      <c r="A30" s="1"/>
      <c r="B30" s="1" t="str">
        <f>'Variante Vorgaben'!B157</f>
        <v>Pneuwagen 2achsig, 3 t</v>
      </c>
      <c r="C30" s="563">
        <f>(C41+C42+C43)*'Variante Vorgaben'!C157</f>
        <v>15.5</v>
      </c>
      <c r="D30" s="142">
        <f>'Variante Vorgaben'!D157*(1+Eingabeseite!$C$25)</f>
        <v>14.1006272091758</v>
      </c>
      <c r="E30" s="118">
        <f>C30*D30</f>
        <v>218.55972174222489</v>
      </c>
      <c r="F30" s="132">
        <f>E30/E48</f>
        <v>5.5792879265487809E-3</v>
      </c>
      <c r="G30" s="5"/>
    </row>
    <row r="31" spans="1:7" x14ac:dyDescent="0.2">
      <c r="A31" s="1"/>
      <c r="B31" s="1"/>
      <c r="C31" s="47">
        <f>SUM(C26:C30)</f>
        <v>25.9</v>
      </c>
      <c r="D31" s="62"/>
      <c r="E31" s="43">
        <f>SUM(E26:E30)</f>
        <v>689.38066430108779</v>
      </c>
      <c r="F31" s="131">
        <f>E31/E48</f>
        <v>1.759817951117091E-2</v>
      </c>
      <c r="G31" s="5"/>
    </row>
    <row r="32" spans="1:7" x14ac:dyDescent="0.2">
      <c r="A32" s="3" t="s">
        <v>24</v>
      </c>
      <c r="B32" s="1" t="str">
        <f>'Variante Vorgaben'!B153</f>
        <v>Obstbautraktor 4-Rad (45-54 kW, 61-73 PS)</v>
      </c>
      <c r="C32" s="47">
        <f>C31</f>
        <v>25.9</v>
      </c>
      <c r="D32" s="142">
        <f>'Variante Vorgaben'!D153*(1+Eingabeseite!$C$25)</f>
        <v>41.001823799731049</v>
      </c>
      <c r="E32" s="43">
        <f>C32*D32</f>
        <v>1061.947236413034</v>
      </c>
      <c r="F32" s="132">
        <f>E32/E48</f>
        <v>2.7108880572876456E-2</v>
      </c>
      <c r="G32" s="5"/>
    </row>
    <row r="33" spans="1:41" ht="13.5" thickBot="1" x14ac:dyDescent="0.25">
      <c r="A33" s="1" t="s">
        <v>25</v>
      </c>
      <c r="B33" s="1"/>
      <c r="C33" s="47"/>
      <c r="D33" s="62"/>
      <c r="E33" s="197">
        <f>'Variante Vorgaben'!D161</f>
        <v>500</v>
      </c>
      <c r="F33" s="132">
        <f>E33/E48</f>
        <v>1.2763760591553873E-2</v>
      </c>
      <c r="G33" s="5"/>
    </row>
    <row r="34" spans="1:41" x14ac:dyDescent="0.2">
      <c r="A34" s="3" t="s">
        <v>26</v>
      </c>
      <c r="B34" s="1"/>
      <c r="C34" s="47"/>
      <c r="D34" s="62"/>
      <c r="E34" s="77">
        <f>E31+E32+E33</f>
        <v>2251.3279007141218</v>
      </c>
      <c r="F34" s="131">
        <f>E34/E48</f>
        <v>5.7470820675601234E-2</v>
      </c>
      <c r="G34" s="5"/>
    </row>
    <row r="35" spans="1:41" x14ac:dyDescent="0.2">
      <c r="A35" s="1"/>
      <c r="B35" s="1"/>
      <c r="C35" s="123" t="s">
        <v>27</v>
      </c>
      <c r="D35" s="128" t="s">
        <v>21</v>
      </c>
      <c r="E35" s="124" t="s">
        <v>22</v>
      </c>
      <c r="F35" s="132"/>
      <c r="G35" s="5"/>
    </row>
    <row r="36" spans="1:41" x14ac:dyDescent="0.2">
      <c r="A36" s="3" t="s">
        <v>28</v>
      </c>
      <c r="B36" s="1" t="s">
        <v>192</v>
      </c>
      <c r="C36" s="47">
        <f>C26</f>
        <v>3.8</v>
      </c>
      <c r="D36" s="62">
        <f>'Variante Vorgaben'!$C$37</f>
        <v>32.700000000000003</v>
      </c>
      <c r="E36" s="43">
        <f t="shared" ref="E36:E45" si="2">C36*D36</f>
        <v>124.26</v>
      </c>
      <c r="F36" s="132">
        <f>E36/E48</f>
        <v>3.1720497822129686E-3</v>
      </c>
      <c r="G36" s="5"/>
    </row>
    <row r="37" spans="1:41" x14ac:dyDescent="0.2">
      <c r="A37" s="1"/>
      <c r="B37" s="1" t="s">
        <v>193</v>
      </c>
      <c r="C37" s="47">
        <f>C27</f>
        <v>1.8</v>
      </c>
      <c r="D37" s="62">
        <f>'Variante Vorgaben'!$C$37</f>
        <v>32.700000000000003</v>
      </c>
      <c r="E37" s="43">
        <f t="shared" si="2"/>
        <v>58.860000000000007</v>
      </c>
      <c r="F37" s="132">
        <f>E37/E48</f>
        <v>1.5025498968377221E-3</v>
      </c>
      <c r="G37" s="5"/>
    </row>
    <row r="38" spans="1:41" x14ac:dyDescent="0.2">
      <c r="A38" s="1"/>
      <c r="B38" s="1" t="s">
        <v>29</v>
      </c>
      <c r="C38" s="47">
        <f>C28</f>
        <v>3.2</v>
      </c>
      <c r="D38" s="62">
        <f>'Variante Vorgaben'!$C$37</f>
        <v>32.700000000000003</v>
      </c>
      <c r="E38" s="43">
        <f t="shared" si="2"/>
        <v>104.64000000000001</v>
      </c>
      <c r="F38" s="132">
        <f>E38/E48</f>
        <v>2.6711998166003949E-3</v>
      </c>
      <c r="G38" s="5"/>
    </row>
    <row r="39" spans="1:41" x14ac:dyDescent="0.2">
      <c r="A39" s="1"/>
      <c r="B39" s="1" t="s">
        <v>30</v>
      </c>
      <c r="C39" s="141">
        <v>1</v>
      </c>
      <c r="D39" s="62">
        <f>'Variante Vorgaben'!$C$37</f>
        <v>32.700000000000003</v>
      </c>
      <c r="E39" s="43">
        <f t="shared" si="2"/>
        <v>32.700000000000003</v>
      </c>
      <c r="F39" s="132">
        <f>E39/E48</f>
        <v>8.3474994268762336E-4</v>
      </c>
      <c r="G39" s="5"/>
    </row>
    <row r="40" spans="1:41" x14ac:dyDescent="0.2">
      <c r="A40" s="1"/>
      <c r="B40" s="1" t="s">
        <v>31</v>
      </c>
      <c r="C40" s="141">
        <v>7.5</v>
      </c>
      <c r="D40" s="62">
        <f>'Variante Vorgaben'!$C$37</f>
        <v>32.700000000000003</v>
      </c>
      <c r="E40" s="43">
        <f t="shared" si="2"/>
        <v>245.25000000000003</v>
      </c>
      <c r="F40" s="132">
        <f>E40/E48</f>
        <v>6.2606245701571752E-3</v>
      </c>
      <c r="G40" s="5"/>
    </row>
    <row r="41" spans="1:41" x14ac:dyDescent="0.2">
      <c r="A41" s="11" t="s">
        <v>191</v>
      </c>
      <c r="B41" s="1" t="s">
        <v>32</v>
      </c>
      <c r="C41" s="141">
        <v>75</v>
      </c>
      <c r="D41" s="62">
        <f>'Variante Vorgaben'!$C$37</f>
        <v>32.700000000000003</v>
      </c>
      <c r="E41" s="43">
        <f t="shared" si="2"/>
        <v>2452.5</v>
      </c>
      <c r="F41" s="132">
        <f>E41/E48</f>
        <v>6.260624570157175E-2</v>
      </c>
      <c r="G41" s="5"/>
    </row>
    <row r="42" spans="1:41" x14ac:dyDescent="0.2">
      <c r="A42" s="11" t="s">
        <v>191</v>
      </c>
      <c r="B42" s="1" t="s">
        <v>160</v>
      </c>
      <c r="C42" s="141">
        <v>10</v>
      </c>
      <c r="D42" s="62">
        <f>'Variante Vorgaben'!$C$37</f>
        <v>32.700000000000003</v>
      </c>
      <c r="E42" s="43">
        <f t="shared" si="2"/>
        <v>327</v>
      </c>
      <c r="F42" s="132">
        <f>E42/E48</f>
        <v>8.3474994268762336E-3</v>
      </c>
      <c r="G42" s="5"/>
    </row>
    <row r="43" spans="1:41" x14ac:dyDescent="0.2">
      <c r="A43" s="11" t="s">
        <v>191</v>
      </c>
      <c r="B43" s="1" t="s">
        <v>327</v>
      </c>
      <c r="C43" s="141">
        <v>70</v>
      </c>
      <c r="D43" s="62">
        <f>'Variante Vorgaben'!$C$37</f>
        <v>32.700000000000003</v>
      </c>
      <c r="E43" s="43">
        <f t="shared" si="2"/>
        <v>2289</v>
      </c>
      <c r="F43" s="132">
        <f>E43/$E$48</f>
        <v>5.8432495988133631E-2</v>
      </c>
      <c r="G43" s="5"/>
    </row>
    <row r="44" spans="1:41" x14ac:dyDescent="0.2">
      <c r="A44" s="1"/>
      <c r="B44" s="1" t="s">
        <v>34</v>
      </c>
      <c r="C44" s="47">
        <f>C29</f>
        <v>1.6</v>
      </c>
      <c r="D44" s="62">
        <f>'Variante Vorgaben'!$C$37</f>
        <v>32.700000000000003</v>
      </c>
      <c r="E44" s="43">
        <f t="shared" si="2"/>
        <v>52.320000000000007</v>
      </c>
      <c r="F44" s="132">
        <f>E44/E48</f>
        <v>1.3355999083001975E-3</v>
      </c>
      <c r="G44" s="5"/>
    </row>
    <row r="45" spans="1:41" ht="13.5" thickBot="1" x14ac:dyDescent="0.25">
      <c r="A45" s="1"/>
      <c r="B45" s="1" t="s">
        <v>136</v>
      </c>
      <c r="C45" s="563">
        <f>SUM(C36:C44)*0.1</f>
        <v>17.39</v>
      </c>
      <c r="D45" s="62">
        <f>'Variante Vorgaben'!C33</f>
        <v>41.4</v>
      </c>
      <c r="E45" s="197">
        <f t="shared" si="2"/>
        <v>719.94600000000003</v>
      </c>
      <c r="F45" s="132">
        <f>E45/E48</f>
        <v>1.837843676569369E-2</v>
      </c>
      <c r="G45" s="5"/>
    </row>
    <row r="46" spans="1:41" x14ac:dyDescent="0.2">
      <c r="A46" s="1"/>
      <c r="B46" s="1"/>
      <c r="C46" s="215">
        <f>SUM(C36:C45)</f>
        <v>191.29000000000002</v>
      </c>
      <c r="D46" s="62"/>
      <c r="E46" s="77">
        <f>SUM(E36:E45)</f>
        <v>6406.4759999999997</v>
      </c>
      <c r="F46" s="131">
        <f>E46/E48</f>
        <v>0.16354145179907137</v>
      </c>
      <c r="G46" s="5"/>
    </row>
    <row r="47" spans="1:41" s="20" customFormat="1" ht="15.75" x14ac:dyDescent="0.25">
      <c r="A47" s="443" t="s">
        <v>35</v>
      </c>
      <c r="B47" s="564"/>
      <c r="C47" s="565"/>
      <c r="D47" s="566"/>
      <c r="E47" s="567">
        <f>E46+E34</f>
        <v>8657.8039007141215</v>
      </c>
      <c r="F47" s="568">
        <f>E47/E48</f>
        <v>0.22101227247467262</v>
      </c>
      <c r="G47" s="812"/>
      <c r="H47" s="100"/>
      <c r="I47" s="100"/>
      <c r="J47" s="17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  <c r="AL47" s="100"/>
      <c r="AM47" s="100"/>
      <c r="AN47" s="100"/>
      <c r="AO47" s="100"/>
    </row>
    <row r="48" spans="1:41" s="28" customFormat="1" ht="18" x14ac:dyDescent="0.25">
      <c r="A48" s="569" t="s">
        <v>171</v>
      </c>
      <c r="B48" s="570"/>
      <c r="C48" s="571"/>
      <c r="D48" s="572"/>
      <c r="E48" s="573">
        <f>E47+E24</f>
        <v>39173.407900714119</v>
      </c>
      <c r="F48" s="574">
        <f>E48/E48</f>
        <v>1</v>
      </c>
      <c r="G48" s="813"/>
      <c r="H48" s="80"/>
      <c r="I48" s="80"/>
      <c r="J48" s="17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</row>
    <row r="49" spans="1:41" ht="11.25" customHeight="1" x14ac:dyDescent="0.2">
      <c r="B49" s="17"/>
      <c r="C49" s="13"/>
      <c r="D49" s="13"/>
      <c r="E49" s="13"/>
    </row>
    <row r="50" spans="1:41" ht="28.5" customHeight="1" x14ac:dyDescent="0.25">
      <c r="A50" s="582" t="s">
        <v>14</v>
      </c>
      <c r="B50" s="855"/>
      <c r="C50" s="856"/>
      <c r="D50" s="856"/>
      <c r="E50" s="1277" t="s">
        <v>479</v>
      </c>
      <c r="F50" s="1278"/>
      <c r="G50" s="1278"/>
    </row>
    <row r="51" spans="1:41" ht="15.75" customHeight="1" x14ac:dyDescent="0.2">
      <c r="B51" s="17"/>
      <c r="C51" s="139" t="s">
        <v>11</v>
      </c>
      <c r="D51" s="139" t="s">
        <v>12</v>
      </c>
      <c r="E51" s="139" t="s">
        <v>13</v>
      </c>
      <c r="F51" s="49"/>
      <c r="G51" s="171"/>
    </row>
    <row r="52" spans="1:41" ht="15" customHeight="1" x14ac:dyDescent="0.2">
      <c r="B52" s="1" t="s">
        <v>94</v>
      </c>
      <c r="C52" s="583">
        <f>('Variante Vorgaben'!B19+'Variante Vorgaben'!B20)*2</f>
        <v>410</v>
      </c>
      <c r="D52" s="89">
        <f>6.9*(1+C6)</f>
        <v>8.1419999999999995</v>
      </c>
      <c r="E52" s="43">
        <f t="shared" ref="E52:E58" si="3">C52*D52</f>
        <v>3338.22</v>
      </c>
      <c r="F52" s="132">
        <f>E52/E71</f>
        <v>0.47269730820183864</v>
      </c>
    </row>
    <row r="53" spans="1:41" ht="15" customHeight="1" x14ac:dyDescent="0.2">
      <c r="B53" s="1" t="s">
        <v>417</v>
      </c>
      <c r="C53" s="143">
        <f>C52/4.5</f>
        <v>91.111111111111114</v>
      </c>
      <c r="D53" s="89">
        <f>9.6*(1+C6)</f>
        <v>11.327999999999999</v>
      </c>
      <c r="E53" s="43">
        <f t="shared" si="3"/>
        <v>1032.1066666666666</v>
      </c>
      <c r="F53" s="132">
        <f>E53/E71</f>
        <v>0.14614796002375685</v>
      </c>
    </row>
    <row r="54" spans="1:41" ht="15" customHeight="1" x14ac:dyDescent="0.2">
      <c r="B54" s="1" t="s">
        <v>418</v>
      </c>
      <c r="C54" s="24">
        <v>8</v>
      </c>
      <c r="D54" s="89">
        <f>15.5*(1+C6)</f>
        <v>18.29</v>
      </c>
      <c r="E54" s="43">
        <f t="shared" si="3"/>
        <v>146.32</v>
      </c>
      <c r="F54" s="132">
        <f>E54/E71</f>
        <v>2.0719146771660653E-2</v>
      </c>
    </row>
    <row r="55" spans="1:41" ht="15" customHeight="1" x14ac:dyDescent="0.2">
      <c r="B55" s="1" t="s">
        <v>418</v>
      </c>
      <c r="C55" s="24">
        <v>6</v>
      </c>
      <c r="D55" s="89">
        <f>19.8*(1+C6)</f>
        <v>23.364000000000001</v>
      </c>
      <c r="E55" s="43">
        <f t="shared" si="3"/>
        <v>140.184</v>
      </c>
      <c r="F55" s="132">
        <f>E55/E71</f>
        <v>1.9850279326397467E-2</v>
      </c>
    </row>
    <row r="56" spans="1:41" ht="15" customHeight="1" x14ac:dyDescent="0.2">
      <c r="B56" s="1" t="s">
        <v>15</v>
      </c>
      <c r="C56" s="24">
        <v>2</v>
      </c>
      <c r="D56" s="89">
        <f>200*(1+C6)</f>
        <v>236</v>
      </c>
      <c r="E56" s="43">
        <f t="shared" si="3"/>
        <v>472</v>
      </c>
      <c r="F56" s="132">
        <f>E56/E71</f>
        <v>6.6835957327937595E-2</v>
      </c>
    </row>
    <row r="57" spans="1:41" ht="15" customHeight="1" x14ac:dyDescent="0.2">
      <c r="B57" s="1" t="s">
        <v>419</v>
      </c>
      <c r="C57" s="143">
        <f>C52/18</f>
        <v>22.777777777777779</v>
      </c>
      <c r="D57" s="89">
        <f>4.1*(1+C6)</f>
        <v>4.8379999999999992</v>
      </c>
      <c r="E57" s="43">
        <f t="shared" si="3"/>
        <v>110.19888888888887</v>
      </c>
      <c r="F57" s="132">
        <f>E57/E71</f>
        <v>1.5604339481703207E-2</v>
      </c>
    </row>
    <row r="58" spans="1:41" ht="15" customHeight="1" x14ac:dyDescent="0.2">
      <c r="B58" s="1" t="s">
        <v>95</v>
      </c>
      <c r="C58" s="144">
        <v>3</v>
      </c>
      <c r="D58" s="89">
        <f>11.95*(1+C6)</f>
        <v>14.100999999999999</v>
      </c>
      <c r="E58" s="118">
        <f t="shared" si="3"/>
        <v>42.302999999999997</v>
      </c>
      <c r="F58" s="132">
        <f>E58/E71</f>
        <v>5.9901726755164069E-3</v>
      </c>
    </row>
    <row r="59" spans="1:41" ht="15" customHeight="1" x14ac:dyDescent="0.2">
      <c r="B59" s="1"/>
      <c r="C59" s="143"/>
      <c r="D59" s="62"/>
      <c r="E59" s="198">
        <f>SUM(E52:E58)</f>
        <v>5281.3325555555548</v>
      </c>
      <c r="F59" s="132">
        <f>E59/E71</f>
        <v>0.74784516380881072</v>
      </c>
    </row>
    <row r="60" spans="1:41" ht="15" customHeight="1" x14ac:dyDescent="0.2">
      <c r="B60" s="1" t="s">
        <v>16</v>
      </c>
      <c r="C60" s="143"/>
      <c r="D60" s="107"/>
      <c r="E60" s="849">
        <v>-1194</v>
      </c>
      <c r="F60" s="132">
        <f>E60/$E$71</f>
        <v>-0.16907231578296078</v>
      </c>
    </row>
    <row r="61" spans="1:41" ht="15" customHeight="1" x14ac:dyDescent="0.2">
      <c r="B61" s="1"/>
      <c r="C61" s="143"/>
      <c r="D61" s="90"/>
      <c r="E61" s="121">
        <f>SUM(E59:E60)</f>
        <v>4087.3325555555548</v>
      </c>
      <c r="F61" s="132">
        <f>E61/$E$71</f>
        <v>0.57877284802584994</v>
      </c>
    </row>
    <row r="62" spans="1:41" s="1" customFormat="1" ht="15" customHeight="1" x14ac:dyDescent="0.2">
      <c r="B62" s="1" t="s">
        <v>98</v>
      </c>
      <c r="C62" s="143"/>
      <c r="D62" s="107"/>
      <c r="E62" s="146">
        <v>300</v>
      </c>
      <c r="F62" s="132">
        <f>E62/$E$71</f>
        <v>4.2480481352502708E-2</v>
      </c>
      <c r="H62" s="23"/>
      <c r="I62" s="23"/>
      <c r="J62" s="17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</row>
    <row r="63" spans="1:41" ht="15" customHeight="1" x14ac:dyDescent="0.25">
      <c r="A63" s="443" t="s">
        <v>19</v>
      </c>
      <c r="B63" s="437"/>
      <c r="C63" s="584"/>
      <c r="D63" s="559"/>
      <c r="E63" s="585">
        <f>E61+E62</f>
        <v>4387.3325555555548</v>
      </c>
      <c r="F63" s="586">
        <f>E63/E71</f>
        <v>0.62125332937835265</v>
      </c>
      <c r="G63" s="437"/>
    </row>
    <row r="64" spans="1:41" ht="19.5" customHeight="1" x14ac:dyDescent="0.2">
      <c r="A64" s="3" t="s">
        <v>23</v>
      </c>
      <c r="C64" s="174" t="s">
        <v>78</v>
      </c>
      <c r="D64" s="886" t="s">
        <v>21</v>
      </c>
      <c r="E64" s="887" t="s">
        <v>13</v>
      </c>
      <c r="F64" s="884"/>
      <c r="G64" s="171"/>
    </row>
    <row r="65" spans="1:41" ht="16.5" customHeight="1" x14ac:dyDescent="0.2">
      <c r="A65" s="17"/>
      <c r="B65" s="1" t="s">
        <v>92</v>
      </c>
      <c r="C65" s="51">
        <f>'Variante Vorgaben'!C157*C69</f>
        <v>7</v>
      </c>
      <c r="D65" s="145">
        <f>D30*(1+Eingabeseite!$C$25)</f>
        <v>14.101254446251694</v>
      </c>
      <c r="E65" s="60">
        <f>C65*D65</f>
        <v>98.708781123761867</v>
      </c>
      <c r="F65" s="132">
        <f>E65/E71</f>
        <v>1.3977321786187458E-2</v>
      </c>
      <c r="G65" s="5"/>
    </row>
    <row r="66" spans="1:41" ht="16.5" customHeight="1" x14ac:dyDescent="0.2">
      <c r="A66" s="17"/>
      <c r="B66" s="1" t="str">
        <f>'Variante Vorgaben'!B138</f>
        <v>Obstbautraktor 4-Rad</v>
      </c>
      <c r="C66" s="47">
        <f>C65</f>
        <v>7</v>
      </c>
      <c r="D66" s="142">
        <f>D32*(1+Eingabeseite!$C$25)</f>
        <v>41.003647680590035</v>
      </c>
      <c r="E66" s="118">
        <f>C66*D66</f>
        <v>287.02553376413027</v>
      </c>
      <c r="F66" s="132">
        <f>E66/E71</f>
        <v>4.0643276115864241E-2</v>
      </c>
      <c r="G66" s="5"/>
    </row>
    <row r="67" spans="1:41" ht="16.5" customHeight="1" x14ac:dyDescent="0.2">
      <c r="A67" s="17"/>
      <c r="B67" s="1"/>
      <c r="C67" s="51"/>
      <c r="D67" s="142"/>
      <c r="E67" s="121">
        <f>SUM(E65:E66)</f>
        <v>385.73431488789214</v>
      </c>
      <c r="F67" s="132">
        <f>E67/E71</f>
        <v>5.4620597902051704E-2</v>
      </c>
      <c r="G67" s="5"/>
    </row>
    <row r="68" spans="1:41" ht="16.5" customHeight="1" x14ac:dyDescent="0.2">
      <c r="A68" s="3" t="s">
        <v>28</v>
      </c>
      <c r="C68" s="123" t="s">
        <v>27</v>
      </c>
      <c r="D68" s="128" t="s">
        <v>21</v>
      </c>
      <c r="E68" s="124" t="s">
        <v>22</v>
      </c>
      <c r="F68" s="884"/>
      <c r="G68" s="885"/>
    </row>
    <row r="69" spans="1:41" ht="16.5" customHeight="1" x14ac:dyDescent="0.2">
      <c r="B69" s="1" t="s">
        <v>33</v>
      </c>
      <c r="C69" s="233">
        <v>70</v>
      </c>
      <c r="D69" s="62">
        <f>'Variante Vorgaben'!C37</f>
        <v>32.700000000000003</v>
      </c>
      <c r="E69" s="200">
        <f>C69*D69</f>
        <v>2289</v>
      </c>
      <c r="F69" s="132">
        <f>E69/E71</f>
        <v>0.32412607271959565</v>
      </c>
      <c r="G69" s="5"/>
    </row>
    <row r="70" spans="1:41" s="20" customFormat="1" ht="15.75" x14ac:dyDescent="0.25">
      <c r="A70" s="443" t="s">
        <v>35</v>
      </c>
      <c r="B70" s="564"/>
      <c r="C70" s="565"/>
      <c r="D70" s="566"/>
      <c r="E70" s="567">
        <f>E67+E69</f>
        <v>2674.7343148878922</v>
      </c>
      <c r="F70" s="586">
        <f>E70/E71</f>
        <v>0.37874667062164741</v>
      </c>
      <c r="G70" s="812"/>
      <c r="H70" s="100"/>
      <c r="I70" s="100"/>
      <c r="J70" s="17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  <c r="AM70" s="100"/>
      <c r="AN70" s="100"/>
      <c r="AO70" s="100"/>
    </row>
    <row r="71" spans="1:41" s="28" customFormat="1" ht="18" customHeight="1" x14ac:dyDescent="0.25">
      <c r="A71" s="569" t="s">
        <v>96</v>
      </c>
      <c r="B71" s="587"/>
      <c r="C71" s="588"/>
      <c r="D71" s="589"/>
      <c r="E71" s="573">
        <f>E63+E70</f>
        <v>7062.0668704434465</v>
      </c>
      <c r="F71" s="586">
        <f>E71/E71</f>
        <v>1</v>
      </c>
      <c r="G71" s="813"/>
      <c r="H71" s="80"/>
      <c r="I71" s="80"/>
      <c r="J71" s="17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L71" s="80"/>
      <c r="AM71" s="80"/>
      <c r="AN71" s="80"/>
      <c r="AO71" s="80"/>
    </row>
    <row r="72" spans="1:41" s="149" customFormat="1" ht="5.25" customHeight="1" x14ac:dyDescent="0.25">
      <c r="A72" s="581"/>
      <c r="B72" s="587"/>
      <c r="C72" s="588"/>
      <c r="D72" s="589"/>
      <c r="E72" s="590"/>
      <c r="F72" s="586"/>
      <c r="G72" s="813"/>
      <c r="H72" s="148"/>
      <c r="I72" s="148"/>
      <c r="J72" s="17"/>
      <c r="K72" s="148"/>
      <c r="L72" s="148"/>
      <c r="M72" s="148"/>
      <c r="N72" s="148"/>
      <c r="O72" s="148"/>
      <c r="P72" s="148"/>
      <c r="Q72" s="148"/>
      <c r="R72" s="148"/>
      <c r="S72" s="148"/>
      <c r="T72" s="148"/>
      <c r="U72" s="148"/>
      <c r="V72" s="148"/>
      <c r="W72" s="148"/>
      <c r="X72" s="148"/>
      <c r="Y72" s="148"/>
      <c r="Z72" s="148"/>
      <c r="AA72" s="148"/>
      <c r="AB72" s="148"/>
      <c r="AC72" s="148"/>
      <c r="AD72" s="148"/>
      <c r="AE72" s="148"/>
      <c r="AF72" s="148"/>
      <c r="AG72" s="148"/>
      <c r="AH72" s="148"/>
      <c r="AI72" s="148"/>
      <c r="AJ72" s="148"/>
      <c r="AK72" s="148"/>
      <c r="AL72" s="148"/>
      <c r="AM72" s="148"/>
      <c r="AN72" s="148"/>
      <c r="AO72" s="148"/>
    </row>
    <row r="73" spans="1:41" s="149" customFormat="1" ht="18" customHeight="1" x14ac:dyDescent="0.25">
      <c r="A73" s="581" t="s">
        <v>97</v>
      </c>
      <c r="B73" s="587"/>
      <c r="C73" s="588"/>
      <c r="D73" s="589"/>
      <c r="E73" s="1215">
        <f>E71+E48</f>
        <v>46235.474771157562</v>
      </c>
      <c r="F73" s="591"/>
      <c r="G73" s="813"/>
      <c r="H73" s="148"/>
      <c r="I73" s="148"/>
      <c r="J73" s="17"/>
      <c r="K73" s="148"/>
      <c r="L73" s="148"/>
      <c r="M73" s="148"/>
      <c r="N73" s="148"/>
      <c r="O73" s="148"/>
      <c r="P73" s="148"/>
      <c r="Q73" s="148"/>
      <c r="R73" s="148"/>
      <c r="S73" s="148"/>
      <c r="T73" s="148"/>
      <c r="U73" s="148"/>
      <c r="V73" s="148"/>
      <c r="W73" s="148"/>
      <c r="X73" s="148"/>
      <c r="Y73" s="148"/>
      <c r="Z73" s="148"/>
      <c r="AA73" s="148"/>
      <c r="AB73" s="148"/>
      <c r="AC73" s="148"/>
      <c r="AD73" s="148"/>
      <c r="AE73" s="148"/>
      <c r="AF73" s="148"/>
      <c r="AG73" s="148"/>
      <c r="AH73" s="148"/>
      <c r="AI73" s="148"/>
      <c r="AJ73" s="148"/>
      <c r="AK73" s="148"/>
      <c r="AL73" s="148"/>
      <c r="AM73" s="148"/>
      <c r="AN73" s="148"/>
      <c r="AO73" s="148"/>
    </row>
    <row r="74" spans="1:41" ht="39" customHeight="1" x14ac:dyDescent="0.3">
      <c r="A74" s="1183" t="s">
        <v>593</v>
      </c>
      <c r="B74" s="1183"/>
      <c r="C74" s="1184"/>
      <c r="D74" s="1185"/>
      <c r="E74" s="1186">
        <f>E73+E138+E149+F155</f>
        <v>84975.419771157554</v>
      </c>
      <c r="F74" s="591"/>
      <c r="G74" s="813"/>
    </row>
    <row r="75" spans="1:41" ht="18" x14ac:dyDescent="0.25">
      <c r="A75" s="147"/>
      <c r="B75" s="1016"/>
      <c r="C75" s="1017"/>
      <c r="D75" s="1018"/>
      <c r="E75" s="1019"/>
      <c r="F75" s="854"/>
      <c r="G75" s="27"/>
    </row>
    <row r="76" spans="1:41" x14ac:dyDescent="0.2">
      <c r="A76" s="1"/>
      <c r="B76" s="1"/>
      <c r="C76" s="1"/>
      <c r="D76" s="1"/>
      <c r="E76" s="1"/>
      <c r="F76" s="1"/>
      <c r="G76" s="1"/>
    </row>
    <row r="77" spans="1:41" ht="26.25" x14ac:dyDescent="0.4">
      <c r="A77" s="1011" t="s">
        <v>467</v>
      </c>
      <c r="B77" s="1011"/>
      <c r="C77" s="1011"/>
      <c r="D77" s="1011"/>
      <c r="E77" s="1011"/>
      <c r="F77" s="1011"/>
      <c r="G77" s="1013" t="s">
        <v>466</v>
      </c>
    </row>
    <row r="78" spans="1:41" ht="26.25" x14ac:dyDescent="0.4">
      <c r="A78" s="983" t="s">
        <v>321</v>
      </c>
      <c r="B78" s="984"/>
      <c r="C78" s="985" t="s">
        <v>11</v>
      </c>
      <c r="D78" s="985" t="s">
        <v>12</v>
      </c>
      <c r="E78" s="986" t="s">
        <v>86</v>
      </c>
      <c r="F78" s="139"/>
      <c r="G78" s="171"/>
    </row>
    <row r="79" spans="1:41" ht="26.25" x14ac:dyDescent="0.4">
      <c r="A79" s="984"/>
      <c r="B79" s="23"/>
      <c r="C79" s="987"/>
      <c r="D79" s="987"/>
      <c r="E79" s="988"/>
      <c r="F79" s="58"/>
    </row>
    <row r="80" spans="1:41" x14ac:dyDescent="0.2">
      <c r="A80" s="17"/>
      <c r="B80" s="17"/>
      <c r="C80" s="145"/>
      <c r="D80" s="58"/>
      <c r="E80" s="58"/>
      <c r="F80" s="46"/>
    </row>
    <row r="81" spans="1:6" x14ac:dyDescent="0.2">
      <c r="A81" s="52" t="s">
        <v>157</v>
      </c>
      <c r="B81" s="23" t="s">
        <v>428</v>
      </c>
      <c r="C81" s="989">
        <v>2000</v>
      </c>
      <c r="D81" s="63">
        <v>1.35</v>
      </c>
      <c r="E81" s="58">
        <f>C81*D81</f>
        <v>2700</v>
      </c>
      <c r="F81" s="880"/>
    </row>
    <row r="82" spans="1:6" x14ac:dyDescent="0.2">
      <c r="A82" s="52"/>
      <c r="B82" s="23" t="s">
        <v>187</v>
      </c>
      <c r="C82" s="990">
        <v>2530</v>
      </c>
      <c r="D82" s="63">
        <v>0.16</v>
      </c>
      <c r="E82" s="58">
        <f>C82*D82</f>
        <v>404.8</v>
      </c>
      <c r="F82" s="880"/>
    </row>
    <row r="83" spans="1:6" x14ac:dyDescent="0.2">
      <c r="A83" s="52"/>
      <c r="B83" s="23" t="s">
        <v>188</v>
      </c>
      <c r="C83" s="991">
        <v>6</v>
      </c>
      <c r="D83" s="63">
        <v>5.5</v>
      </c>
      <c r="E83" s="58">
        <f>C83*D83</f>
        <v>33</v>
      </c>
      <c r="F83" s="880"/>
    </row>
    <row r="84" spans="1:6" x14ac:dyDescent="0.2">
      <c r="A84" s="52"/>
      <c r="B84" s="23" t="s">
        <v>189</v>
      </c>
      <c r="C84" s="989">
        <v>2000</v>
      </c>
      <c r="D84" s="63">
        <v>0.2</v>
      </c>
      <c r="E84" s="58">
        <f>C84*D84</f>
        <v>400</v>
      </c>
      <c r="F84" s="880"/>
    </row>
    <row r="85" spans="1:6" x14ac:dyDescent="0.2">
      <c r="A85" s="52"/>
      <c r="B85" s="23"/>
      <c r="C85" s="192"/>
      <c r="D85" s="59"/>
      <c r="E85" s="58"/>
      <c r="F85" s="880"/>
    </row>
    <row r="86" spans="1:6" x14ac:dyDescent="0.2">
      <c r="A86" s="125" t="s">
        <v>429</v>
      </c>
      <c r="B86" s="101" t="s">
        <v>430</v>
      </c>
      <c r="C86" s="992">
        <v>9800</v>
      </c>
      <c r="D86" s="993">
        <v>0.57999999999999996</v>
      </c>
      <c r="E86" s="867">
        <f>C86*D86</f>
        <v>5684</v>
      </c>
      <c r="F86" s="880"/>
    </row>
    <row r="87" spans="1:6" x14ac:dyDescent="0.2">
      <c r="A87" s="125"/>
      <c r="B87" s="101" t="s">
        <v>431</v>
      </c>
      <c r="C87" s="992">
        <v>1200</v>
      </c>
      <c r="D87" s="993">
        <v>0.28000000000000003</v>
      </c>
      <c r="E87" s="867">
        <f t="shared" ref="E87:E102" si="4">C87*D87</f>
        <v>336.00000000000006</v>
      </c>
      <c r="F87" s="880"/>
    </row>
    <row r="88" spans="1:6" x14ac:dyDescent="0.2">
      <c r="A88" s="125"/>
      <c r="B88" s="101" t="s">
        <v>432</v>
      </c>
      <c r="C88" s="992">
        <v>1750</v>
      </c>
      <c r="D88" s="993">
        <v>0.83</v>
      </c>
      <c r="E88" s="867">
        <f t="shared" si="4"/>
        <v>1452.5</v>
      </c>
      <c r="F88" s="880"/>
    </row>
    <row r="89" spans="1:6" x14ac:dyDescent="0.2">
      <c r="A89" s="125"/>
      <c r="B89" s="101" t="s">
        <v>433</v>
      </c>
      <c r="C89" s="992">
        <v>100</v>
      </c>
      <c r="D89" s="993">
        <v>0.55000000000000004</v>
      </c>
      <c r="E89" s="867">
        <f t="shared" si="4"/>
        <v>55.000000000000007</v>
      </c>
      <c r="F89" s="880"/>
    </row>
    <row r="90" spans="1:6" x14ac:dyDescent="0.2">
      <c r="A90" s="125"/>
      <c r="B90" s="101" t="s">
        <v>434</v>
      </c>
      <c r="C90" s="992">
        <v>165</v>
      </c>
      <c r="D90" s="993">
        <v>1.19</v>
      </c>
      <c r="E90" s="867">
        <f t="shared" si="4"/>
        <v>196.35</v>
      </c>
      <c r="F90" s="880"/>
    </row>
    <row r="91" spans="1:6" x14ac:dyDescent="0.2">
      <c r="A91" s="125"/>
      <c r="B91" s="101" t="s">
        <v>435</v>
      </c>
      <c r="C91" s="992">
        <v>310</v>
      </c>
      <c r="D91" s="993">
        <v>1.19</v>
      </c>
      <c r="E91" s="867">
        <f t="shared" si="4"/>
        <v>368.9</v>
      </c>
      <c r="F91" s="880"/>
    </row>
    <row r="92" spans="1:6" x14ac:dyDescent="0.2">
      <c r="A92" s="125"/>
      <c r="B92" s="101" t="s">
        <v>436</v>
      </c>
      <c r="C92" s="992">
        <v>810</v>
      </c>
      <c r="D92" s="993">
        <v>0.7</v>
      </c>
      <c r="E92" s="867">
        <f t="shared" si="4"/>
        <v>567</v>
      </c>
      <c r="F92" s="880"/>
    </row>
    <row r="93" spans="1:6" x14ac:dyDescent="0.2">
      <c r="A93" s="125"/>
      <c r="B93" s="101" t="s">
        <v>437</v>
      </c>
      <c r="C93" s="992">
        <v>3100</v>
      </c>
      <c r="D93" s="993">
        <v>0.3</v>
      </c>
      <c r="E93" s="867">
        <f t="shared" si="4"/>
        <v>930</v>
      </c>
      <c r="F93" s="880"/>
    </row>
    <row r="94" spans="1:6" x14ac:dyDescent="0.2">
      <c r="A94" s="125"/>
      <c r="B94" s="101" t="s">
        <v>438</v>
      </c>
      <c r="C94" s="992">
        <v>3400</v>
      </c>
      <c r="D94" s="993">
        <v>0.1</v>
      </c>
      <c r="E94" s="867">
        <f t="shared" si="4"/>
        <v>340</v>
      </c>
      <c r="F94" s="880"/>
    </row>
    <row r="95" spans="1:6" x14ac:dyDescent="0.2">
      <c r="A95" s="125"/>
      <c r="B95" s="101" t="s">
        <v>439</v>
      </c>
      <c r="C95" s="992">
        <v>26</v>
      </c>
      <c r="D95" s="993">
        <v>9.15</v>
      </c>
      <c r="E95" s="867">
        <f t="shared" si="4"/>
        <v>237.9</v>
      </c>
      <c r="F95" s="880"/>
    </row>
    <row r="96" spans="1:6" x14ac:dyDescent="0.2">
      <c r="A96" s="125"/>
      <c r="B96" s="101" t="s">
        <v>440</v>
      </c>
      <c r="C96" s="994"/>
      <c r="D96" s="995"/>
      <c r="E96" s="996">
        <v>500</v>
      </c>
      <c r="F96" s="880"/>
    </row>
    <row r="97" spans="1:6" x14ac:dyDescent="0.2">
      <c r="A97" s="125"/>
      <c r="B97" s="101"/>
      <c r="C97" s="994"/>
      <c r="D97" s="997"/>
      <c r="E97" s="867"/>
      <c r="F97" s="880"/>
    </row>
    <row r="98" spans="1:6" x14ac:dyDescent="0.2">
      <c r="A98" s="125" t="s">
        <v>441</v>
      </c>
      <c r="B98" s="101" t="s">
        <v>442</v>
      </c>
      <c r="C98" s="992">
        <v>240</v>
      </c>
      <c r="D98" s="993">
        <v>18.5</v>
      </c>
      <c r="E98" s="867">
        <f t="shared" si="4"/>
        <v>4440</v>
      </c>
      <c r="F98" s="880"/>
    </row>
    <row r="99" spans="1:6" x14ac:dyDescent="0.2">
      <c r="A99" s="125"/>
      <c r="B99" s="101" t="s">
        <v>443</v>
      </c>
      <c r="C99" s="992">
        <v>44</v>
      </c>
      <c r="D99" s="993">
        <v>27</v>
      </c>
      <c r="E99" s="867">
        <f t="shared" si="4"/>
        <v>1188</v>
      </c>
      <c r="F99" s="880"/>
    </row>
    <row r="100" spans="1:6" x14ac:dyDescent="0.2">
      <c r="A100" s="125"/>
      <c r="B100" s="101" t="s">
        <v>444</v>
      </c>
      <c r="C100" s="992">
        <v>4</v>
      </c>
      <c r="D100" s="993">
        <v>58.95</v>
      </c>
      <c r="E100" s="867">
        <f t="shared" si="4"/>
        <v>235.8</v>
      </c>
      <c r="F100" s="880"/>
    </row>
    <row r="101" spans="1:6" x14ac:dyDescent="0.2">
      <c r="A101" s="125"/>
      <c r="B101" s="101" t="s">
        <v>445</v>
      </c>
      <c r="C101" s="992">
        <v>72</v>
      </c>
      <c r="D101" s="993">
        <v>20.149999999999999</v>
      </c>
      <c r="E101" s="867">
        <f t="shared" si="4"/>
        <v>1450.8</v>
      </c>
      <c r="F101" s="880"/>
    </row>
    <row r="102" spans="1:6" ht="13.5" thickBot="1" x14ac:dyDescent="0.25">
      <c r="A102" s="125"/>
      <c r="B102" s="101" t="s">
        <v>446</v>
      </c>
      <c r="C102" s="992">
        <v>68</v>
      </c>
      <c r="D102" s="993">
        <v>1</v>
      </c>
      <c r="E102" s="998">
        <f t="shared" si="4"/>
        <v>68</v>
      </c>
      <c r="F102" s="880"/>
    </row>
    <row r="103" spans="1:6" x14ac:dyDescent="0.2">
      <c r="A103" s="52"/>
      <c r="B103" s="17"/>
      <c r="C103" s="429"/>
      <c r="D103" s="59"/>
      <c r="E103" s="922">
        <f>SUM(E86:E102)</f>
        <v>18050.25</v>
      </c>
      <c r="F103" s="880"/>
    </row>
    <row r="104" spans="1:6" x14ac:dyDescent="0.2">
      <c r="A104" s="52"/>
      <c r="B104" s="17"/>
      <c r="C104" s="429"/>
      <c r="D104" s="59"/>
      <c r="E104" s="58"/>
      <c r="F104" s="880"/>
    </row>
    <row r="105" spans="1:6" x14ac:dyDescent="0.2">
      <c r="A105" s="52" t="s">
        <v>17</v>
      </c>
      <c r="B105" s="23" t="s">
        <v>34</v>
      </c>
      <c r="C105" s="991">
        <v>40</v>
      </c>
      <c r="D105" s="63">
        <v>7.2</v>
      </c>
      <c r="E105" s="58"/>
      <c r="F105" s="880"/>
    </row>
    <row r="106" spans="1:6" x14ac:dyDescent="0.2">
      <c r="A106" s="52"/>
      <c r="B106" s="23" t="s">
        <v>18</v>
      </c>
      <c r="C106" s="429"/>
      <c r="D106" s="58"/>
      <c r="E106" s="63">
        <v>125</v>
      </c>
      <c r="F106" s="880"/>
    </row>
    <row r="107" spans="1:6" x14ac:dyDescent="0.2">
      <c r="A107" s="23"/>
      <c r="B107" s="23" t="s">
        <v>158</v>
      </c>
      <c r="C107" s="429"/>
      <c r="D107" s="58"/>
      <c r="E107" s="63">
        <v>500</v>
      </c>
      <c r="F107" s="880"/>
    </row>
    <row r="108" spans="1:6" x14ac:dyDescent="0.2">
      <c r="A108" s="23"/>
      <c r="B108" s="23"/>
      <c r="C108" s="429"/>
      <c r="D108" s="58"/>
      <c r="E108" s="59"/>
      <c r="F108" s="880"/>
    </row>
    <row r="109" spans="1:6" ht="25.5" x14ac:dyDescent="0.2">
      <c r="A109" s="864" t="s">
        <v>447</v>
      </c>
      <c r="B109" s="101" t="s">
        <v>448</v>
      </c>
      <c r="C109" s="992">
        <v>55</v>
      </c>
      <c r="D109" s="867">
        <f>'Variante Vorgaben'!D138</f>
        <v>41</v>
      </c>
      <c r="E109" s="867">
        <f>C109*D109</f>
        <v>2255</v>
      </c>
      <c r="F109" s="880"/>
    </row>
    <row r="110" spans="1:6" x14ac:dyDescent="0.2">
      <c r="A110" s="125"/>
      <c r="B110" s="101" t="s">
        <v>449</v>
      </c>
      <c r="C110" s="992">
        <v>15</v>
      </c>
      <c r="D110" s="867">
        <f>'Variante Vorgaben'!D159</f>
        <v>150</v>
      </c>
      <c r="E110" s="867">
        <f>C110*D110</f>
        <v>2250</v>
      </c>
      <c r="F110" s="880"/>
    </row>
    <row r="111" spans="1:6" x14ac:dyDescent="0.2">
      <c r="A111" s="125"/>
      <c r="B111" s="216" t="s">
        <v>450</v>
      </c>
      <c r="C111" s="992">
        <v>20</v>
      </c>
      <c r="D111" s="867">
        <f>'Variante Vorgaben'!D158</f>
        <v>23.5</v>
      </c>
      <c r="E111" s="867">
        <f>C111*D111</f>
        <v>470</v>
      </c>
      <c r="F111" s="880"/>
    </row>
    <row r="112" spans="1:6" ht="13.5" thickBot="1" x14ac:dyDescent="0.25">
      <c r="A112" s="125"/>
      <c r="B112" s="101" t="s">
        <v>170</v>
      </c>
      <c r="C112" s="992">
        <v>20</v>
      </c>
      <c r="D112" s="867">
        <f>'Variante Vorgaben'!D160</f>
        <v>17.5</v>
      </c>
      <c r="E112" s="998">
        <f>C112*D112</f>
        <v>350</v>
      </c>
      <c r="F112" s="880"/>
    </row>
    <row r="113" spans="1:7" x14ac:dyDescent="0.2">
      <c r="A113" s="23"/>
      <c r="B113" s="23"/>
      <c r="C113" s="429"/>
      <c r="D113" s="58"/>
      <c r="E113" s="922">
        <f>SUM(E109:E112)</f>
        <v>5325</v>
      </c>
      <c r="F113" s="880"/>
    </row>
    <row r="114" spans="1:7" ht="23.25" x14ac:dyDescent="0.35">
      <c r="A114" s="800" t="s">
        <v>28</v>
      </c>
      <c r="B114" s="437"/>
      <c r="C114" s="441"/>
      <c r="D114" s="442"/>
      <c r="E114" s="442"/>
      <c r="F114" s="1014"/>
      <c r="G114" s="437"/>
    </row>
    <row r="115" spans="1:7" x14ac:dyDescent="0.2">
      <c r="A115" s="23"/>
      <c r="B115" s="17"/>
      <c r="C115" s="999" t="s">
        <v>27</v>
      </c>
      <c r="D115" s="1000" t="s">
        <v>21</v>
      </c>
      <c r="E115" s="112" t="s">
        <v>86</v>
      </c>
      <c r="F115" s="1015"/>
      <c r="G115" s="171"/>
    </row>
    <row r="116" spans="1:7" x14ac:dyDescent="0.2">
      <c r="A116" s="102" t="s">
        <v>451</v>
      </c>
      <c r="B116" s="216" t="s">
        <v>452</v>
      </c>
      <c r="C116" s="1001">
        <v>15</v>
      </c>
      <c r="D116" s="867">
        <f>$C$36</f>
        <v>3.8</v>
      </c>
      <c r="E116" s="867">
        <f>C116*D116</f>
        <v>57</v>
      </c>
      <c r="F116" s="880"/>
    </row>
    <row r="117" spans="1:7" x14ac:dyDescent="0.2">
      <c r="A117" s="101"/>
      <c r="B117" s="216" t="s">
        <v>453</v>
      </c>
      <c r="C117" s="1001">
        <v>100</v>
      </c>
      <c r="D117" s="867">
        <f>$C$36</f>
        <v>3.8</v>
      </c>
      <c r="E117" s="867">
        <f>C117*D117</f>
        <v>380</v>
      </c>
      <c r="F117" s="880"/>
    </row>
    <row r="118" spans="1:7" x14ac:dyDescent="0.2">
      <c r="A118" s="101"/>
      <c r="B118" s="216" t="s">
        <v>454</v>
      </c>
      <c r="C118" s="1001">
        <v>175</v>
      </c>
      <c r="D118" s="867">
        <f>$C$36</f>
        <v>3.8</v>
      </c>
      <c r="E118" s="867">
        <f>C118*D118</f>
        <v>665</v>
      </c>
      <c r="F118" s="880"/>
    </row>
    <row r="119" spans="1:7" ht="13.5" thickBot="1" x14ac:dyDescent="0.25">
      <c r="A119" s="101"/>
      <c r="B119" s="216" t="s">
        <v>455</v>
      </c>
      <c r="C119" s="1002">
        <f>SUM(C116:C118) * 0.1</f>
        <v>29</v>
      </c>
      <c r="D119" s="867">
        <f>$C$36</f>
        <v>3.8</v>
      </c>
      <c r="E119" s="998">
        <f>C119*D119</f>
        <v>110.19999999999999</v>
      </c>
      <c r="F119" s="880"/>
    </row>
    <row r="120" spans="1:7" x14ac:dyDescent="0.2">
      <c r="A120" s="17"/>
      <c r="B120" s="23"/>
      <c r="C120" s="51"/>
      <c r="D120" s="58"/>
      <c r="E120" s="922">
        <f>SUM(E116:E119)</f>
        <v>1212.2</v>
      </c>
      <c r="F120" s="880"/>
    </row>
    <row r="121" spans="1:7" x14ac:dyDescent="0.2">
      <c r="A121" s="17"/>
      <c r="B121" s="17"/>
      <c r="C121" s="145"/>
      <c r="D121" s="58"/>
      <c r="E121" s="58"/>
      <c r="F121" s="880"/>
    </row>
    <row r="122" spans="1:7" x14ac:dyDescent="0.2">
      <c r="A122" s="102" t="s">
        <v>456</v>
      </c>
      <c r="B122" s="17"/>
      <c r="C122" s="145"/>
      <c r="D122" s="58"/>
      <c r="E122" s="58"/>
      <c r="F122" s="880"/>
    </row>
    <row r="123" spans="1:7" x14ac:dyDescent="0.2">
      <c r="A123" s="17"/>
      <c r="B123" s="17" t="s">
        <v>457</v>
      </c>
      <c r="C123" s="1003">
        <v>38</v>
      </c>
      <c r="D123" s="63">
        <v>14</v>
      </c>
      <c r="E123" s="867">
        <f>C123*D123</f>
        <v>532</v>
      </c>
      <c r="F123" s="880"/>
    </row>
    <row r="124" spans="1:7" x14ac:dyDescent="0.2">
      <c r="A124" s="17"/>
      <c r="B124" s="17" t="s">
        <v>458</v>
      </c>
      <c r="C124" s="1003">
        <v>285</v>
      </c>
      <c r="D124" s="63">
        <v>10</v>
      </c>
      <c r="E124" s="867">
        <f>C124*D124</f>
        <v>2850</v>
      </c>
      <c r="F124" s="880"/>
    </row>
    <row r="125" spans="1:7" ht="13.5" thickBot="1" x14ac:dyDescent="0.25">
      <c r="A125" s="17"/>
      <c r="B125" s="17" t="s">
        <v>186</v>
      </c>
      <c r="C125" s="1003">
        <v>38</v>
      </c>
      <c r="D125" s="63">
        <v>5.2</v>
      </c>
      <c r="E125" s="998">
        <f>C125*D125</f>
        <v>197.6</v>
      </c>
      <c r="F125" s="880"/>
    </row>
    <row r="126" spans="1:7" x14ac:dyDescent="0.2">
      <c r="A126" s="17"/>
      <c r="B126" s="17"/>
      <c r="C126" s="61"/>
      <c r="D126" s="59"/>
      <c r="E126" s="922">
        <f>SUM(E123:E125)</f>
        <v>3579.6</v>
      </c>
      <c r="F126" s="880"/>
    </row>
    <row r="127" spans="1:7" x14ac:dyDescent="0.2">
      <c r="A127" s="102" t="s">
        <v>459</v>
      </c>
      <c r="B127" s="23"/>
      <c r="C127" s="145"/>
      <c r="D127" s="58"/>
      <c r="E127" s="1004"/>
      <c r="F127" s="880"/>
    </row>
    <row r="128" spans="1:7" x14ac:dyDescent="0.2">
      <c r="A128" s="17"/>
      <c r="B128" s="23" t="s">
        <v>452</v>
      </c>
      <c r="C128" s="1001">
        <v>7.5</v>
      </c>
      <c r="D128" s="867">
        <f>$C$36</f>
        <v>3.8</v>
      </c>
      <c r="E128" s="867">
        <f>C128*D128</f>
        <v>28.5</v>
      </c>
      <c r="F128" s="880"/>
    </row>
    <row r="129" spans="1:7" x14ac:dyDescent="0.2">
      <c r="A129" s="17"/>
      <c r="B129" s="23" t="s">
        <v>460</v>
      </c>
      <c r="C129" s="1001">
        <v>35</v>
      </c>
      <c r="D129" s="867">
        <f>$C$36</f>
        <v>3.8</v>
      </c>
      <c r="E129" s="867">
        <f>C129*D129</f>
        <v>133</v>
      </c>
      <c r="F129" s="880"/>
    </row>
    <row r="130" spans="1:7" x14ac:dyDescent="0.2">
      <c r="A130" s="17"/>
      <c r="B130" s="17" t="s">
        <v>461</v>
      </c>
      <c r="C130" s="1001">
        <v>10</v>
      </c>
      <c r="D130" s="867">
        <f>'Variante Vorgaben'!D138</f>
        <v>41</v>
      </c>
      <c r="E130" s="867">
        <f>C130*D130</f>
        <v>410</v>
      </c>
      <c r="F130" s="880"/>
    </row>
    <row r="131" spans="1:7" ht="13.5" thickBot="1" x14ac:dyDescent="0.25">
      <c r="A131" s="17"/>
      <c r="B131" s="23" t="s">
        <v>191</v>
      </c>
      <c r="C131" s="1001">
        <v>10</v>
      </c>
      <c r="D131" s="867">
        <f>'Variante Vorgaben'!D157</f>
        <v>14.1</v>
      </c>
      <c r="E131" s="998">
        <f>C131*D131</f>
        <v>141</v>
      </c>
      <c r="F131" s="880"/>
    </row>
    <row r="132" spans="1:7" x14ac:dyDescent="0.2">
      <c r="A132" s="17"/>
      <c r="B132" s="23"/>
      <c r="C132" s="1002"/>
      <c r="D132" s="867"/>
      <c r="E132" s="922">
        <f>SUM(E128:E131)</f>
        <v>712.5</v>
      </c>
      <c r="F132" s="880"/>
    </row>
    <row r="133" spans="1:7" x14ac:dyDescent="0.2">
      <c r="A133" s="17"/>
      <c r="B133" s="23"/>
      <c r="C133" s="1002"/>
      <c r="D133" s="867"/>
      <c r="E133" s="922"/>
      <c r="F133" s="880"/>
    </row>
    <row r="134" spans="1:7" ht="15.75" x14ac:dyDescent="0.25">
      <c r="A134" s="251"/>
      <c r="B134" s="216" t="s">
        <v>462</v>
      </c>
      <c r="C134" s="1005"/>
      <c r="D134" s="850"/>
      <c r="E134" s="867">
        <f>E103</f>
        <v>18050.25</v>
      </c>
      <c r="F134" s="880"/>
    </row>
    <row r="135" spans="1:7" x14ac:dyDescent="0.2">
      <c r="A135" s="17"/>
      <c r="B135" s="216" t="s">
        <v>23</v>
      </c>
      <c r="C135" s="1005"/>
      <c r="D135" s="850"/>
      <c r="E135" s="867">
        <f>E113</f>
        <v>5325</v>
      </c>
      <c r="F135" s="880"/>
    </row>
    <row r="136" spans="1:7" x14ac:dyDescent="0.2">
      <c r="A136" s="17"/>
      <c r="B136" s="216" t="s">
        <v>28</v>
      </c>
      <c r="C136" s="1005"/>
      <c r="D136" s="850"/>
      <c r="E136" s="867">
        <f>E120</f>
        <v>1212.2</v>
      </c>
      <c r="F136" s="880"/>
    </row>
    <row r="137" spans="1:7" ht="13.5" thickBot="1" x14ac:dyDescent="0.25">
      <c r="A137" s="17"/>
      <c r="B137" s="216" t="s">
        <v>463</v>
      </c>
      <c r="C137" s="1005"/>
      <c r="D137" s="850"/>
      <c r="E137" s="998">
        <f>E126+E132</f>
        <v>4292.1000000000004</v>
      </c>
      <c r="F137" s="880"/>
    </row>
    <row r="138" spans="1:7" ht="15.75" x14ac:dyDescent="0.25">
      <c r="A138" s="520" t="s">
        <v>464</v>
      </c>
      <c r="B138" s="855"/>
      <c r="C138" s="519"/>
      <c r="D138" s="856"/>
      <c r="E138" s="1010">
        <f>SUM(E134:E136)-E137</f>
        <v>20295.349999999999</v>
      </c>
      <c r="F138" s="442"/>
      <c r="G138" s="437"/>
    </row>
    <row r="140" spans="1:7" ht="18" x14ac:dyDescent="0.25">
      <c r="A140" s="1180" t="s">
        <v>578</v>
      </c>
    </row>
    <row r="141" spans="1:7" x14ac:dyDescent="0.2">
      <c r="C141" s="174" t="s">
        <v>11</v>
      </c>
      <c r="D141" s="886" t="s">
        <v>12</v>
      </c>
      <c r="E141" s="887" t="s">
        <v>13</v>
      </c>
      <c r="F141" s="887"/>
    </row>
    <row r="142" spans="1:7" x14ac:dyDescent="0.2">
      <c r="A142" t="s">
        <v>510</v>
      </c>
      <c r="B142" t="s">
        <v>552</v>
      </c>
      <c r="E142" s="60">
        <f>'Variante Bewässerung'!H15</f>
        <v>5446.7199999999993</v>
      </c>
      <c r="F142" s="132">
        <f>E142/$E$117</f>
        <v>14.333473684210524</v>
      </c>
    </row>
    <row r="143" spans="1:7" x14ac:dyDescent="0.2">
      <c r="B143" t="s">
        <v>544</v>
      </c>
      <c r="E143" s="60">
        <f>'Variante Bewässerung'!H20</f>
        <v>1807.6</v>
      </c>
      <c r="F143" s="132">
        <f t="shared" ref="F143:F148" si="5">E143/$E$117</f>
        <v>4.756842105263158</v>
      </c>
    </row>
    <row r="144" spans="1:7" x14ac:dyDescent="0.2">
      <c r="B144" t="s">
        <v>539</v>
      </c>
      <c r="E144" s="60">
        <f>'Variante Bewässerung'!H28</f>
        <v>1486.5</v>
      </c>
      <c r="F144" s="132">
        <f t="shared" si="5"/>
        <v>3.9118421052631578</v>
      </c>
    </row>
    <row r="145" spans="1:7" x14ac:dyDescent="0.2">
      <c r="E145" s="60"/>
      <c r="F145" s="132">
        <f t="shared" si="5"/>
        <v>0</v>
      </c>
    </row>
    <row r="146" spans="1:7" x14ac:dyDescent="0.2">
      <c r="E146" s="1181">
        <f>SUM(E142:E144)</f>
        <v>8740.82</v>
      </c>
      <c r="F146" s="132">
        <f t="shared" si="5"/>
        <v>23.00215789473684</v>
      </c>
    </row>
    <row r="147" spans="1:7" x14ac:dyDescent="0.2">
      <c r="A147" t="s">
        <v>579</v>
      </c>
      <c r="E147" s="1182">
        <f>'Variante Bewässerung'!H46</f>
        <v>2560.9</v>
      </c>
      <c r="F147" s="132">
        <f t="shared" si="5"/>
        <v>6.73921052631579</v>
      </c>
    </row>
    <row r="148" spans="1:7" x14ac:dyDescent="0.2">
      <c r="A148" t="s">
        <v>580</v>
      </c>
      <c r="B148" s="12"/>
      <c r="E148" s="1182">
        <f>'Variante Bewässerung'!H47</f>
        <v>3381.1800000000003</v>
      </c>
      <c r="F148" s="132">
        <f t="shared" si="5"/>
        <v>8.8978421052631589</v>
      </c>
    </row>
    <row r="149" spans="1:7" ht="18" x14ac:dyDescent="0.25">
      <c r="A149" s="1191" t="s">
        <v>581</v>
      </c>
      <c r="B149" s="1192"/>
      <c r="C149" s="1193"/>
      <c r="D149" s="1194"/>
      <c r="E149" s="1195">
        <f>E146+E147+E148</f>
        <v>14682.9</v>
      </c>
      <c r="F149" s="1196">
        <f>E149/E149</f>
        <v>1</v>
      </c>
    </row>
    <row r="151" spans="1:7" x14ac:dyDescent="0.2">
      <c r="A151" t="s">
        <v>587</v>
      </c>
      <c r="C151" t="s">
        <v>588</v>
      </c>
      <c r="D151" s="1219">
        <f>2*4*'Variante Vorgaben'!C19</f>
        <v>960</v>
      </c>
      <c r="E151" s="1220">
        <v>1.05</v>
      </c>
      <c r="F151" s="938">
        <f>D151*E151</f>
        <v>1008</v>
      </c>
      <c r="G151" s="365"/>
    </row>
    <row r="152" spans="1:7" x14ac:dyDescent="0.2">
      <c r="B152" s="16"/>
      <c r="C152" t="s">
        <v>589</v>
      </c>
      <c r="D152" s="1219">
        <f>2*4*'Variante Vorgaben'!C20</f>
        <v>600</v>
      </c>
      <c r="E152" s="1220">
        <v>1.05</v>
      </c>
      <c r="F152" s="938">
        <f>D152*E152</f>
        <v>630</v>
      </c>
      <c r="G152" s="365"/>
    </row>
    <row r="153" spans="1:7" x14ac:dyDescent="0.2">
      <c r="B153" s="16"/>
      <c r="C153" t="s">
        <v>590</v>
      </c>
      <c r="D153" s="1219">
        <f>('Variante Vorgaben'!C19-1)*0.7*'Variante Vorgaben'!C24</f>
        <v>1915.8999999999999</v>
      </c>
      <c r="E153" s="1220">
        <v>1.05</v>
      </c>
      <c r="F153" s="938">
        <f>D153*E153</f>
        <v>2011.6949999999999</v>
      </c>
      <c r="G153" s="365"/>
    </row>
    <row r="154" spans="1:7" ht="13.5" thickBot="1" x14ac:dyDescent="0.25">
      <c r="C154" t="s">
        <v>591</v>
      </c>
      <c r="D154" s="1221">
        <v>400</v>
      </c>
      <c r="E154" s="1220">
        <v>0.28000000000000003</v>
      </c>
      <c r="F154" s="1222">
        <f>D154*E154</f>
        <v>112.00000000000001</v>
      </c>
      <c r="G154" s="365"/>
    </row>
    <row r="155" spans="1:7" x14ac:dyDescent="0.2">
      <c r="A155" s="16" t="s">
        <v>592</v>
      </c>
      <c r="B155" s="16"/>
      <c r="D155" s="46"/>
      <c r="E155" s="62"/>
      <c r="F155" s="1223">
        <f>SUM(F151:F154)</f>
        <v>3761.6949999999997</v>
      </c>
      <c r="G155" s="1224"/>
    </row>
    <row r="157" spans="1:7" x14ac:dyDescent="0.2">
      <c r="A157" t="s">
        <v>596</v>
      </c>
      <c r="B157" s="19" t="s">
        <v>597</v>
      </c>
      <c r="D157" s="1228">
        <v>20</v>
      </c>
      <c r="E157" s="62">
        <f>'Variante Vorgaben'!C36</f>
        <v>23.18</v>
      </c>
      <c r="F157" s="1229">
        <f>D157*E157</f>
        <v>463.6</v>
      </c>
    </row>
  </sheetData>
  <mergeCells count="4">
    <mergeCell ref="E50:G50"/>
    <mergeCell ref="C4:G4"/>
    <mergeCell ref="B3:G3"/>
    <mergeCell ref="E7:G7"/>
  </mergeCells>
  <phoneticPr fontId="24" type="noConversion"/>
  <printOptions gridLines="1" gridLinesSet="0"/>
  <pageMargins left="0.78740157480314965" right="0.39370078740157483" top="0.59055118110236227" bottom="0.39370078740157483" header="0.51181102362204722" footer="0.51181102362204722"/>
  <pageSetup paperSize="9" scale="60" orientation="portrait" r:id="rId1"/>
  <headerFooter alignWithMargins="0">
    <oddFooter>&amp;L&amp;6&amp;F&amp;C&amp;6&amp;A  &amp;D&amp;R&amp;6Kontakt: patrik.mouron.faw.admin.ch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Variante1_20">
    <tabColor indexed="17"/>
  </sheetPr>
  <dimension ref="A1:IV160"/>
  <sheetViews>
    <sheetView zoomScale="68" zoomScaleNormal="68" workbookViewId="0">
      <selection activeCell="F16" sqref="F16"/>
    </sheetView>
  </sheetViews>
  <sheetFormatPr baseColWidth="10" defaultRowHeight="12.75" x14ac:dyDescent="0.2"/>
  <cols>
    <col min="1" max="1" width="37.5703125" style="16" customWidth="1"/>
    <col min="2" max="2" width="24.42578125" style="19" customWidth="1"/>
    <col min="3" max="3" width="15.28515625" style="12" customWidth="1"/>
    <col min="4" max="4" width="12.7109375" style="12" customWidth="1"/>
    <col min="5" max="5" width="13.28515625" style="30" customWidth="1"/>
    <col min="6" max="6" width="17.5703125" style="31" customWidth="1"/>
    <col min="7" max="7" width="9.28515625" style="12" customWidth="1"/>
    <col min="8" max="8" width="37.5703125" style="12" customWidth="1"/>
    <col min="9" max="9" width="24.42578125" style="12" customWidth="1"/>
    <col min="10" max="10" width="15.28515625" customWidth="1"/>
    <col min="11" max="11" width="12.7109375" customWidth="1"/>
    <col min="12" max="12" width="13.28515625" customWidth="1"/>
    <col min="13" max="13" width="17.5703125" customWidth="1"/>
    <col min="14" max="14" width="6.28515625" customWidth="1"/>
    <col min="15" max="15" width="37.5703125" customWidth="1"/>
    <col min="16" max="16" width="24.42578125" customWidth="1"/>
    <col min="17" max="17" width="15.28515625" customWidth="1"/>
    <col min="18" max="18" width="12.7109375" style="32" customWidth="1"/>
    <col min="19" max="19" width="13.28515625" customWidth="1"/>
    <col min="20" max="20" width="17.5703125" customWidth="1"/>
    <col min="21" max="21" width="10.28515625" customWidth="1"/>
    <col min="22" max="22" width="37.5703125" customWidth="1"/>
    <col min="23" max="23" width="24.42578125" customWidth="1"/>
    <col min="24" max="24" width="15.28515625" customWidth="1"/>
    <col min="25" max="25" width="12.7109375" customWidth="1"/>
    <col min="26" max="26" width="13.28515625" customWidth="1"/>
    <col min="27" max="27" width="17.5703125" customWidth="1"/>
    <col min="28" max="28" width="6.28515625" customWidth="1"/>
    <col min="29" max="29" width="37.5703125" customWidth="1"/>
    <col min="30" max="30" width="24.42578125" customWidth="1"/>
    <col min="31" max="31" width="15.28515625" customWidth="1"/>
    <col min="32" max="32" width="12.7109375" customWidth="1"/>
    <col min="33" max="33" width="13.28515625" customWidth="1"/>
    <col min="34" max="34" width="17.5703125" customWidth="1"/>
    <col min="35" max="35" width="6.28515625" customWidth="1"/>
    <col min="36" max="36" width="37.5703125" customWidth="1"/>
    <col min="37" max="37" width="24.42578125" customWidth="1"/>
    <col min="38" max="38" width="15.28515625" customWidth="1"/>
    <col min="39" max="39" width="12.7109375" customWidth="1"/>
    <col min="40" max="40" width="13.28515625" customWidth="1"/>
    <col min="41" max="41" width="17.5703125" customWidth="1"/>
    <col min="42" max="42" width="6.28515625" customWidth="1"/>
    <col min="43" max="43" width="37.5703125" customWidth="1"/>
    <col min="44" max="44" width="24.42578125" customWidth="1"/>
    <col min="45" max="45" width="15.28515625" customWidth="1"/>
    <col min="46" max="46" width="12.7109375" customWidth="1"/>
    <col min="47" max="47" width="13.28515625" customWidth="1"/>
    <col min="48" max="48" width="17.5703125" customWidth="1"/>
    <col min="49" max="49" width="6.28515625" customWidth="1"/>
    <col min="50" max="50" width="37.5703125" customWidth="1"/>
    <col min="51" max="51" width="24.42578125" customWidth="1"/>
    <col min="52" max="52" width="15.28515625" customWidth="1"/>
    <col min="53" max="53" width="12.7109375" customWidth="1"/>
    <col min="54" max="54" width="13.28515625" customWidth="1"/>
    <col min="55" max="55" width="17.5703125" customWidth="1"/>
    <col min="56" max="56" width="6.28515625" customWidth="1"/>
    <col min="57" max="57" width="37.5703125" customWidth="1"/>
    <col min="58" max="58" width="24.42578125" customWidth="1"/>
    <col min="59" max="59" width="15.28515625" customWidth="1"/>
    <col min="60" max="60" width="12.7109375" customWidth="1"/>
    <col min="61" max="61" width="13.28515625" customWidth="1"/>
    <col min="62" max="62" width="17.5703125" customWidth="1"/>
    <col min="63" max="63" width="6.28515625" customWidth="1"/>
    <col min="64" max="64" width="37.5703125" customWidth="1"/>
    <col min="65" max="65" width="24.42578125" customWidth="1"/>
    <col min="66" max="66" width="15.28515625" customWidth="1"/>
    <col min="67" max="67" width="12.7109375" customWidth="1"/>
    <col min="68" max="68" width="13.28515625" customWidth="1"/>
    <col min="69" max="69" width="17.5703125" customWidth="1"/>
    <col min="70" max="70" width="6.28515625" customWidth="1"/>
    <col min="71" max="71" width="37.5703125" customWidth="1"/>
    <col min="72" max="72" width="24.42578125" customWidth="1"/>
    <col min="73" max="73" width="15.28515625" customWidth="1"/>
    <col min="74" max="74" width="12.7109375" customWidth="1"/>
    <col min="75" max="75" width="13.28515625" customWidth="1"/>
    <col min="76" max="76" width="17.5703125" customWidth="1"/>
    <col min="77" max="77" width="6.28515625" customWidth="1"/>
    <col min="78" max="78" width="37.5703125" customWidth="1"/>
    <col min="79" max="79" width="24.42578125" customWidth="1"/>
    <col min="80" max="80" width="15.28515625" customWidth="1"/>
    <col min="81" max="81" width="12.7109375" customWidth="1"/>
    <col min="82" max="82" width="13.28515625" customWidth="1"/>
    <col min="83" max="83" width="17.5703125" customWidth="1"/>
    <col min="84" max="84" width="6.28515625" customWidth="1"/>
    <col min="85" max="85" width="37.5703125" customWidth="1"/>
    <col min="86" max="86" width="24.42578125" customWidth="1"/>
    <col min="87" max="87" width="15.28515625" customWidth="1"/>
    <col min="88" max="88" width="12.7109375" customWidth="1"/>
    <col min="89" max="89" width="13.28515625" customWidth="1"/>
    <col min="90" max="90" width="17.5703125" customWidth="1"/>
    <col min="91" max="91" width="6.28515625" customWidth="1"/>
    <col min="92" max="92" width="37.5703125" customWidth="1"/>
    <col min="93" max="93" width="24.42578125" customWidth="1"/>
    <col min="94" max="94" width="15.28515625" customWidth="1"/>
    <col min="95" max="95" width="12.7109375" customWidth="1"/>
    <col min="96" max="96" width="13.28515625" customWidth="1"/>
    <col min="97" max="97" width="17.5703125" customWidth="1"/>
    <col min="98" max="98" width="6.28515625" customWidth="1"/>
    <col min="99" max="99" width="37.5703125" customWidth="1"/>
    <col min="100" max="100" width="24.42578125" customWidth="1"/>
    <col min="101" max="101" width="15.28515625" customWidth="1"/>
    <col min="102" max="102" width="12.7109375" customWidth="1"/>
    <col min="103" max="103" width="13.28515625" customWidth="1"/>
    <col min="104" max="104" width="17.5703125" customWidth="1"/>
    <col min="105" max="105" width="6.28515625" style="17" customWidth="1"/>
    <col min="106" max="106" width="37.5703125" customWidth="1"/>
    <col min="107" max="107" width="24.42578125" customWidth="1"/>
    <col min="108" max="108" width="15.28515625" customWidth="1"/>
    <col min="109" max="109" width="12.7109375" customWidth="1"/>
    <col min="110" max="110" width="13.28515625" customWidth="1"/>
    <col min="111" max="111" width="17.5703125" customWidth="1"/>
    <col min="112" max="112" width="6.28515625" customWidth="1"/>
    <col min="113" max="113" width="37.5703125" customWidth="1"/>
    <col min="114" max="114" width="24.42578125" customWidth="1"/>
    <col min="115" max="115" width="15.28515625" customWidth="1"/>
    <col min="116" max="116" width="12.7109375" customWidth="1"/>
    <col min="117" max="117" width="13.28515625" customWidth="1"/>
    <col min="118" max="118" width="17.5703125" customWidth="1"/>
    <col min="119" max="119" width="6.28515625" customWidth="1"/>
    <col min="120" max="120" width="37.5703125" customWidth="1"/>
    <col min="121" max="121" width="24.42578125" customWidth="1"/>
    <col min="122" max="122" width="15.28515625" customWidth="1"/>
    <col min="123" max="123" width="12.7109375" customWidth="1"/>
    <col min="124" max="124" width="13.28515625" customWidth="1"/>
    <col min="125" max="125" width="17.5703125" customWidth="1"/>
    <col min="126" max="126" width="10.85546875" customWidth="1"/>
    <col min="127" max="127" width="37.5703125" customWidth="1"/>
    <col min="128" max="128" width="24.42578125" customWidth="1"/>
    <col min="129" max="129" width="15.28515625" customWidth="1"/>
    <col min="130" max="130" width="12.7109375" customWidth="1"/>
    <col min="131" max="131" width="13.28515625" customWidth="1"/>
    <col min="132" max="132" width="17.5703125" customWidth="1"/>
    <col min="133" max="133" width="6.28515625" customWidth="1"/>
    <col min="134" max="134" width="37.5703125" customWidth="1"/>
    <col min="135" max="135" width="24.42578125" customWidth="1"/>
    <col min="136" max="136" width="15.28515625" customWidth="1"/>
    <col min="137" max="137" width="12.7109375" customWidth="1"/>
    <col min="138" max="138" width="13.28515625" customWidth="1"/>
    <col min="139" max="139" width="17.5703125" customWidth="1"/>
    <col min="140" max="140" width="6.28515625" customWidth="1"/>
  </cols>
  <sheetData>
    <row r="1" spans="1:187" ht="43.5" customHeight="1" x14ac:dyDescent="0.3">
      <c r="A1" s="1036" t="str">
        <f>'Variante Vorgaben'!A1</f>
        <v>Arbokost 2023</v>
      </c>
      <c r="B1" s="593" t="str">
        <f>'Variante Vorgaben'!B8</f>
        <v>Tafelbirnen</v>
      </c>
      <c r="C1" s="434"/>
      <c r="D1" s="434"/>
      <c r="E1" s="816"/>
      <c r="F1" s="817"/>
      <c r="G1" s="434"/>
      <c r="H1" s="434"/>
      <c r="I1" s="434"/>
      <c r="J1" s="452"/>
      <c r="K1" s="452"/>
      <c r="L1" s="452"/>
      <c r="M1" s="452"/>
      <c r="N1" s="452"/>
      <c r="O1" s="452"/>
      <c r="P1" s="452"/>
      <c r="Q1" s="452"/>
      <c r="R1" s="819"/>
      <c r="S1" s="452"/>
      <c r="T1" s="452"/>
      <c r="U1" s="452"/>
      <c r="V1" s="452"/>
      <c r="W1" s="452"/>
      <c r="X1" s="452"/>
      <c r="Y1" s="452"/>
      <c r="Z1" s="452"/>
      <c r="AA1" s="452"/>
      <c r="AB1" s="452"/>
      <c r="AC1" s="452"/>
      <c r="AD1" s="452"/>
      <c r="AE1" s="452"/>
      <c r="AF1" s="452"/>
      <c r="AG1" s="452"/>
      <c r="AH1" s="452"/>
      <c r="AI1" s="452"/>
      <c r="AJ1" s="452"/>
      <c r="AK1" s="452"/>
      <c r="AL1" s="452"/>
      <c r="AM1" s="452"/>
      <c r="AN1" s="452"/>
      <c r="AO1" s="452"/>
      <c r="AP1" s="452"/>
      <c r="AQ1" s="452"/>
      <c r="AR1" s="452"/>
      <c r="AS1" s="452"/>
      <c r="AT1" s="452"/>
      <c r="AU1" s="452"/>
      <c r="AV1" s="452"/>
      <c r="AW1" s="452"/>
      <c r="AX1" s="452"/>
      <c r="AY1" s="452"/>
      <c r="AZ1" s="452"/>
      <c r="BA1" s="452"/>
      <c r="BB1" s="452"/>
      <c r="BC1" s="452"/>
      <c r="BD1" s="452"/>
      <c r="BE1" s="452"/>
      <c r="BF1" s="452"/>
      <c r="BG1" s="452"/>
      <c r="BH1" s="452"/>
      <c r="BI1" s="452"/>
      <c r="BJ1" s="452"/>
      <c r="BK1" s="452"/>
      <c r="BL1" s="452"/>
      <c r="BM1" s="452"/>
      <c r="BN1" s="452"/>
      <c r="BO1" s="452"/>
      <c r="BP1" s="452"/>
      <c r="BQ1" s="452"/>
      <c r="BR1" s="452"/>
      <c r="BS1" s="452"/>
      <c r="BT1" s="452"/>
      <c r="BU1" s="452"/>
      <c r="BV1" s="452"/>
      <c r="BW1" s="452"/>
      <c r="BX1" s="452"/>
      <c r="BY1" s="452"/>
      <c r="BZ1" s="452"/>
      <c r="CA1" s="452"/>
      <c r="CB1" s="452"/>
      <c r="CC1" s="452"/>
      <c r="CD1" s="452"/>
      <c r="CE1" s="452"/>
      <c r="CF1" s="452"/>
      <c r="CG1" s="452"/>
      <c r="CH1" s="452"/>
      <c r="CI1" s="452"/>
      <c r="CJ1" s="452"/>
      <c r="CK1" s="452"/>
      <c r="CL1" s="452"/>
      <c r="CM1" s="452"/>
      <c r="CN1" s="452"/>
      <c r="CO1" s="452"/>
      <c r="CP1" s="452"/>
      <c r="CQ1" s="452"/>
      <c r="CR1" s="452"/>
      <c r="CS1" s="452"/>
      <c r="CT1" s="452"/>
      <c r="CU1" s="452"/>
      <c r="CV1" s="452"/>
      <c r="CW1" s="452"/>
      <c r="CX1" s="452"/>
      <c r="CY1" s="452"/>
      <c r="CZ1" s="452"/>
      <c r="DA1" s="596"/>
      <c r="DB1" s="452"/>
      <c r="DC1" s="452"/>
      <c r="DD1" s="452"/>
      <c r="DE1" s="452"/>
      <c r="DF1" s="452"/>
      <c r="DG1" s="452"/>
      <c r="DH1" s="452"/>
      <c r="DI1" s="452"/>
      <c r="DJ1" s="452"/>
      <c r="DK1" s="452"/>
      <c r="DL1" s="452"/>
      <c r="DM1" s="452"/>
      <c r="DN1" s="452"/>
      <c r="DO1" s="452"/>
      <c r="DP1" s="452"/>
      <c r="DQ1" s="452"/>
      <c r="DR1" s="452"/>
      <c r="DS1" s="452"/>
      <c r="DT1" s="452"/>
      <c r="DU1" s="452"/>
      <c r="DV1" s="452"/>
      <c r="DW1" s="452"/>
      <c r="DX1" s="452"/>
      <c r="DY1" s="452"/>
      <c r="DZ1" s="452"/>
      <c r="EA1" s="452"/>
      <c r="EB1" s="452"/>
      <c r="EC1" s="452"/>
      <c r="ED1" s="452"/>
      <c r="EE1" s="452"/>
      <c r="EF1" s="452"/>
      <c r="EG1" s="452"/>
      <c r="EH1" s="452"/>
      <c r="EI1" s="452"/>
      <c r="EJ1" s="452"/>
    </row>
    <row r="2" spans="1:187" s="1" customFormat="1" ht="12.75" customHeight="1" x14ac:dyDescent="0.6">
      <c r="A2" s="599"/>
      <c r="B2" s="815"/>
      <c r="C2" s="434"/>
      <c r="D2" s="434"/>
      <c r="E2" s="816"/>
      <c r="F2" s="817"/>
      <c r="G2" s="434"/>
      <c r="H2" s="434"/>
      <c r="I2" s="434"/>
      <c r="J2" s="452"/>
      <c r="K2" s="452"/>
      <c r="L2" s="452"/>
      <c r="M2" s="452"/>
      <c r="N2" s="452"/>
      <c r="O2" s="452"/>
      <c r="P2" s="452"/>
      <c r="Q2" s="452"/>
      <c r="R2" s="819"/>
      <c r="S2" s="452"/>
      <c r="T2" s="452"/>
      <c r="U2" s="452"/>
      <c r="V2" s="452"/>
      <c r="W2" s="452"/>
      <c r="X2" s="452"/>
      <c r="Y2" s="452"/>
      <c r="Z2" s="452"/>
      <c r="AA2" s="452"/>
      <c r="AB2" s="452"/>
      <c r="AC2" s="452"/>
      <c r="AD2" s="452"/>
      <c r="AE2" s="452"/>
      <c r="AF2" s="452"/>
      <c r="AG2" s="452"/>
      <c r="AH2" s="452"/>
      <c r="AI2" s="452"/>
      <c r="AJ2" s="452"/>
      <c r="AK2" s="452"/>
      <c r="AL2" s="452"/>
      <c r="AM2" s="452"/>
      <c r="AN2" s="452"/>
      <c r="AO2" s="452"/>
      <c r="AP2" s="452"/>
      <c r="AQ2" s="452"/>
      <c r="AR2" s="452"/>
      <c r="AS2" s="452"/>
      <c r="AT2" s="452"/>
      <c r="AU2" s="452"/>
      <c r="AV2" s="452"/>
      <c r="AW2" s="452"/>
      <c r="AX2" s="452"/>
      <c r="AY2" s="452"/>
      <c r="AZ2" s="452"/>
      <c r="BA2" s="452"/>
      <c r="BB2" s="452"/>
      <c r="BC2" s="452"/>
      <c r="BD2" s="452"/>
      <c r="BE2" s="452"/>
      <c r="BF2" s="452"/>
      <c r="BG2" s="452"/>
      <c r="BH2" s="452"/>
      <c r="BI2" s="452"/>
      <c r="BJ2" s="452"/>
      <c r="BK2" s="452"/>
      <c r="BL2" s="452"/>
      <c r="BM2" s="452"/>
      <c r="BN2" s="452"/>
      <c r="BO2" s="452"/>
      <c r="BP2" s="452"/>
      <c r="BQ2" s="452"/>
      <c r="BR2" s="452"/>
      <c r="BS2" s="452"/>
      <c r="BT2" s="452"/>
      <c r="BU2" s="452"/>
      <c r="BV2" s="452"/>
      <c r="BW2" s="452"/>
      <c r="BX2" s="452"/>
      <c r="BY2" s="452"/>
      <c r="BZ2" s="452"/>
      <c r="CA2" s="452"/>
      <c r="CB2" s="452"/>
      <c r="CC2" s="452"/>
      <c r="CD2" s="452"/>
      <c r="CE2" s="452"/>
      <c r="CF2" s="452"/>
      <c r="CG2" s="452"/>
      <c r="CH2" s="452"/>
      <c r="CI2" s="452"/>
      <c r="CJ2" s="452"/>
      <c r="CK2" s="452"/>
      <c r="CL2" s="452"/>
      <c r="CM2" s="452"/>
      <c r="CN2" s="452"/>
      <c r="CO2" s="452"/>
      <c r="CP2" s="452"/>
      <c r="CQ2" s="452"/>
      <c r="CR2" s="452"/>
      <c r="CS2" s="452"/>
      <c r="CT2" s="452"/>
      <c r="CU2" s="452"/>
      <c r="CV2" s="452"/>
      <c r="CW2" s="452"/>
      <c r="CX2" s="452"/>
      <c r="CY2" s="452"/>
      <c r="CZ2" s="452"/>
      <c r="DA2" s="596"/>
      <c r="DB2" s="452"/>
      <c r="DC2" s="452"/>
      <c r="DD2" s="452"/>
      <c r="DE2" s="452"/>
      <c r="DF2" s="452"/>
      <c r="DG2" s="452"/>
      <c r="DH2" s="452"/>
      <c r="DI2" s="452"/>
      <c r="DJ2" s="452"/>
      <c r="DK2" s="452"/>
      <c r="DL2" s="452"/>
      <c r="DM2" s="452"/>
      <c r="DN2" s="452"/>
      <c r="DO2" s="452"/>
      <c r="DP2" s="452"/>
      <c r="DQ2" s="452"/>
      <c r="DR2" s="452"/>
      <c r="DS2" s="452"/>
      <c r="DT2" s="452"/>
      <c r="DU2" s="452"/>
      <c r="DV2" s="452"/>
      <c r="DW2" s="452"/>
      <c r="DX2" s="452"/>
      <c r="DY2" s="452"/>
      <c r="DZ2" s="452"/>
      <c r="EA2" s="452"/>
      <c r="EB2" s="452"/>
      <c r="EC2" s="452"/>
      <c r="ED2" s="452"/>
      <c r="EE2" s="452"/>
      <c r="EF2" s="452"/>
      <c r="EG2" s="452"/>
      <c r="EH2" s="452"/>
      <c r="EI2" s="452"/>
      <c r="EJ2" s="452"/>
      <c r="EK2" s="452"/>
    </row>
    <row r="3" spans="1:187" ht="3.75" customHeight="1" x14ac:dyDescent="0.25">
      <c r="A3" s="601"/>
      <c r="B3" s="815"/>
      <c r="C3" s="434"/>
      <c r="D3" s="434"/>
      <c r="E3" s="816"/>
      <c r="F3" s="817"/>
      <c r="G3" s="434"/>
      <c r="H3" s="434"/>
      <c r="I3" s="434"/>
      <c r="J3" s="452"/>
      <c r="K3" s="452"/>
      <c r="L3" s="452"/>
      <c r="M3" s="452"/>
      <c r="N3" s="452"/>
      <c r="O3" s="452"/>
      <c r="P3" s="452"/>
      <c r="Q3" s="452"/>
      <c r="R3" s="819"/>
      <c r="S3" s="452"/>
      <c r="T3" s="452"/>
      <c r="U3" s="452"/>
      <c r="V3" s="452"/>
      <c r="W3" s="452"/>
      <c r="X3" s="452"/>
      <c r="Y3" s="452"/>
      <c r="Z3" s="452"/>
      <c r="AA3" s="452"/>
      <c r="AB3" s="452"/>
      <c r="AC3" s="452"/>
      <c r="AD3" s="452"/>
      <c r="AE3" s="452"/>
      <c r="AF3" s="452"/>
      <c r="AG3" s="452"/>
      <c r="AH3" s="452"/>
      <c r="AI3" s="452"/>
      <c r="AJ3" s="452"/>
      <c r="AK3" s="452"/>
      <c r="AL3" s="452"/>
      <c r="AM3" s="452"/>
      <c r="AN3" s="452"/>
      <c r="AO3" s="452"/>
      <c r="AP3" s="452"/>
      <c r="AQ3" s="452"/>
      <c r="AR3" s="452"/>
      <c r="AS3" s="452"/>
      <c r="AT3" s="452"/>
      <c r="AU3" s="452"/>
      <c r="AV3" s="452"/>
      <c r="AW3" s="452"/>
      <c r="AX3" s="452"/>
      <c r="AY3" s="452"/>
      <c r="AZ3" s="452"/>
      <c r="BA3" s="452"/>
      <c r="BB3" s="452"/>
      <c r="BC3" s="452"/>
      <c r="BD3" s="452"/>
      <c r="BE3" s="452"/>
      <c r="BF3" s="452"/>
      <c r="BG3" s="452"/>
      <c r="BH3" s="452"/>
      <c r="BI3" s="452"/>
      <c r="BJ3" s="452"/>
      <c r="BK3" s="452"/>
      <c r="BL3" s="452"/>
      <c r="BM3" s="452"/>
      <c r="BN3" s="452"/>
      <c r="BO3" s="452"/>
      <c r="BP3" s="452"/>
      <c r="BQ3" s="452"/>
      <c r="BR3" s="452"/>
      <c r="BS3" s="452"/>
      <c r="BT3" s="452"/>
      <c r="BU3" s="452"/>
      <c r="BV3" s="452"/>
      <c r="BW3" s="452"/>
      <c r="BX3" s="452"/>
      <c r="BY3" s="452"/>
      <c r="BZ3" s="452"/>
      <c r="CA3" s="452"/>
      <c r="CB3" s="452"/>
      <c r="CC3" s="452"/>
      <c r="CD3" s="452"/>
      <c r="CE3" s="452"/>
      <c r="CF3" s="452"/>
      <c r="CG3" s="452"/>
      <c r="CH3" s="452"/>
      <c r="CI3" s="452"/>
      <c r="CJ3" s="452"/>
      <c r="CK3" s="452"/>
      <c r="CL3" s="452"/>
      <c r="CM3" s="452"/>
      <c r="CN3" s="452"/>
      <c r="CO3" s="452"/>
      <c r="CP3" s="452"/>
      <c r="CQ3" s="452"/>
      <c r="CR3" s="452"/>
      <c r="CS3" s="452"/>
      <c r="CT3" s="452"/>
      <c r="CU3" s="452"/>
      <c r="CV3" s="452"/>
      <c r="CW3" s="452"/>
      <c r="CX3" s="452"/>
      <c r="CY3" s="452"/>
      <c r="CZ3" s="452"/>
      <c r="DA3" s="596"/>
      <c r="DB3" s="452"/>
      <c r="DC3" s="452"/>
      <c r="DD3" s="452"/>
      <c r="DE3" s="452"/>
      <c r="DF3" s="452"/>
      <c r="DG3" s="452"/>
      <c r="DH3" s="452"/>
      <c r="DI3" s="452"/>
      <c r="DJ3" s="452"/>
      <c r="DK3" s="452"/>
      <c r="DL3" s="452"/>
      <c r="DM3" s="452"/>
      <c r="DN3" s="452"/>
      <c r="DO3" s="452"/>
      <c r="DP3" s="452"/>
      <c r="DQ3" s="452"/>
      <c r="DR3" s="452"/>
      <c r="DS3" s="452"/>
      <c r="DT3" s="452"/>
      <c r="DU3" s="452"/>
      <c r="DV3" s="452"/>
      <c r="DW3" s="452"/>
      <c r="DX3" s="452"/>
      <c r="DY3" s="452"/>
      <c r="DZ3" s="452"/>
      <c r="EA3" s="452"/>
      <c r="EB3" s="452"/>
      <c r="EC3" s="452"/>
      <c r="ED3" s="452"/>
      <c r="EE3" s="452"/>
      <c r="EF3" s="452"/>
      <c r="EG3" s="452"/>
      <c r="EH3" s="452"/>
      <c r="EI3" s="452"/>
      <c r="EJ3" s="452"/>
    </row>
    <row r="4" spans="1:187" s="917" customFormat="1" ht="24.75" customHeight="1" x14ac:dyDescent="0.25">
      <c r="A4" s="912" t="s">
        <v>355</v>
      </c>
      <c r="B4" s="913"/>
      <c r="C4" s="914"/>
      <c r="D4" s="912"/>
      <c r="E4" s="915"/>
      <c r="F4" s="912"/>
      <c r="G4" s="913"/>
      <c r="H4" s="912" t="s">
        <v>355</v>
      </c>
      <c r="I4" s="913"/>
      <c r="J4" s="914"/>
      <c r="K4" s="912"/>
      <c r="L4" s="915"/>
      <c r="M4" s="912"/>
      <c r="N4" s="913"/>
      <c r="O4" s="916" t="s">
        <v>355</v>
      </c>
      <c r="P4" s="913"/>
      <c r="Q4" s="914"/>
      <c r="R4" s="912"/>
      <c r="S4" s="915"/>
      <c r="T4" s="912"/>
      <c r="U4" s="913"/>
      <c r="V4" s="912" t="s">
        <v>355</v>
      </c>
      <c r="W4" s="913"/>
      <c r="X4" s="914"/>
      <c r="Y4" s="912"/>
      <c r="Z4" s="915"/>
      <c r="AA4" s="912"/>
      <c r="AB4" s="913"/>
      <c r="AC4" s="912" t="s">
        <v>355</v>
      </c>
      <c r="AD4" s="913"/>
      <c r="AE4" s="914"/>
      <c r="AF4" s="912"/>
      <c r="AG4" s="915"/>
      <c r="AH4" s="912"/>
      <c r="AI4" s="913"/>
      <c r="AJ4" s="912" t="s">
        <v>355</v>
      </c>
      <c r="AK4" s="913"/>
      <c r="AL4" s="914"/>
      <c r="AM4" s="912"/>
      <c r="AN4" s="915"/>
      <c r="AO4" s="912"/>
      <c r="AP4" s="913"/>
      <c r="AQ4" s="912" t="s">
        <v>355</v>
      </c>
      <c r="AR4" s="913"/>
      <c r="AS4" s="914"/>
      <c r="AT4" s="912"/>
      <c r="AU4" s="915"/>
      <c r="AV4" s="912"/>
      <c r="AW4" s="913"/>
      <c r="AX4" s="912" t="s">
        <v>355</v>
      </c>
      <c r="AY4" s="913"/>
      <c r="AZ4" s="914"/>
      <c r="BA4" s="912"/>
      <c r="BB4" s="915"/>
      <c r="BC4" s="912"/>
      <c r="BD4" s="913"/>
      <c r="BE4" s="912" t="s">
        <v>355</v>
      </c>
      <c r="BF4" s="913"/>
      <c r="BG4" s="914"/>
      <c r="BH4" s="912"/>
      <c r="BI4" s="915"/>
      <c r="BJ4" s="912"/>
      <c r="BK4" s="913"/>
      <c r="BL4" s="912" t="s">
        <v>355</v>
      </c>
      <c r="BM4" s="913"/>
      <c r="BN4" s="914"/>
      <c r="BO4" s="912"/>
      <c r="BP4" s="915"/>
      <c r="BQ4" s="912"/>
      <c r="BR4" s="913"/>
      <c r="BS4" s="912" t="s">
        <v>355</v>
      </c>
      <c r="BT4" s="913"/>
      <c r="BU4" s="914"/>
      <c r="BV4" s="912"/>
      <c r="BW4" s="915"/>
      <c r="BX4" s="912"/>
      <c r="BY4" s="913"/>
      <c r="BZ4" s="912" t="s">
        <v>355</v>
      </c>
      <c r="CA4" s="913"/>
      <c r="CB4" s="914"/>
      <c r="CC4" s="912"/>
      <c r="CD4" s="915"/>
      <c r="CE4" s="912"/>
      <c r="CF4" s="913"/>
      <c r="CG4" s="912" t="s">
        <v>355</v>
      </c>
      <c r="CH4" s="913"/>
      <c r="CI4" s="914"/>
      <c r="CJ4" s="912"/>
      <c r="CK4" s="915"/>
      <c r="CL4" s="912"/>
      <c r="CM4" s="913"/>
      <c r="CN4" s="912" t="s">
        <v>355</v>
      </c>
      <c r="CO4" s="913"/>
      <c r="CP4" s="914"/>
      <c r="CQ4" s="912"/>
      <c r="CR4" s="915"/>
      <c r="CS4" s="912"/>
      <c r="CT4" s="913"/>
      <c r="CU4" s="912" t="s">
        <v>355</v>
      </c>
      <c r="CV4" s="913"/>
      <c r="CW4" s="914"/>
      <c r="CX4" s="912"/>
      <c r="CY4" s="915"/>
      <c r="CZ4" s="912"/>
      <c r="DA4" s="913"/>
      <c r="DB4" s="912" t="s">
        <v>355</v>
      </c>
      <c r="DC4" s="913"/>
      <c r="DD4" s="914"/>
      <c r="DE4" s="912"/>
      <c r="DF4" s="915"/>
      <c r="DG4" s="912"/>
      <c r="DH4" s="913"/>
      <c r="DI4" s="912" t="s">
        <v>355</v>
      </c>
      <c r="DJ4" s="913"/>
      <c r="DK4" s="914"/>
      <c r="DL4" s="912"/>
      <c r="DM4" s="915"/>
      <c r="DN4" s="912"/>
      <c r="DO4" s="913"/>
      <c r="DP4" s="912" t="s">
        <v>355</v>
      </c>
      <c r="DQ4" s="913"/>
      <c r="DR4" s="914"/>
      <c r="DS4" s="912"/>
      <c r="DT4" s="915"/>
      <c r="DU4" s="912"/>
      <c r="DV4" s="913"/>
      <c r="DW4" s="912" t="s">
        <v>355</v>
      </c>
      <c r="DX4" s="913"/>
      <c r="DY4" s="914"/>
      <c r="DZ4" s="912"/>
      <c r="EA4" s="915"/>
      <c r="EB4" s="912"/>
      <c r="EC4" s="913"/>
      <c r="ED4" s="912" t="s">
        <v>355</v>
      </c>
      <c r="EE4" s="913"/>
      <c r="EF4" s="914"/>
      <c r="EG4" s="912"/>
      <c r="EH4" s="915"/>
      <c r="EI4" s="912"/>
      <c r="EJ4" s="913"/>
    </row>
    <row r="5" spans="1:187" s="29" customFormat="1" ht="17.25" customHeight="1" x14ac:dyDescent="0.25">
      <c r="A5" s="900" t="s">
        <v>39</v>
      </c>
      <c r="B5" s="918">
        <f>'Variante Vorgaben'!$B$11</f>
        <v>2000</v>
      </c>
      <c r="C5" s="1281"/>
      <c r="D5" s="1282"/>
      <c r="E5" s="1282"/>
      <c r="F5" s="1282"/>
      <c r="G5" s="1282"/>
      <c r="H5" s="900" t="s">
        <v>40</v>
      </c>
      <c r="I5" s="919"/>
      <c r="J5" s="1281"/>
      <c r="K5" s="1282"/>
      <c r="L5" s="1282"/>
      <c r="M5" s="1282"/>
      <c r="N5" s="1282"/>
      <c r="O5" s="900" t="s">
        <v>41</v>
      </c>
      <c r="P5" s="919"/>
      <c r="Q5" s="1281"/>
      <c r="R5" s="1282"/>
      <c r="S5" s="1282"/>
      <c r="T5" s="1282"/>
      <c r="U5" s="1282"/>
      <c r="V5" s="900" t="s">
        <v>42</v>
      </c>
      <c r="W5" s="919"/>
      <c r="X5" s="1281"/>
      <c r="Y5" s="1282"/>
      <c r="Z5" s="1282"/>
      <c r="AA5" s="1282"/>
      <c r="AB5" s="1282"/>
      <c r="AC5" s="900" t="s">
        <v>43</v>
      </c>
      <c r="AD5" s="919"/>
      <c r="AE5" s="1281"/>
      <c r="AF5" s="1282"/>
      <c r="AG5" s="1282"/>
      <c r="AH5" s="1282"/>
      <c r="AI5" s="1282"/>
      <c r="AJ5" s="900" t="s">
        <v>44</v>
      </c>
      <c r="AK5" s="919"/>
      <c r="AL5" s="1281"/>
      <c r="AM5" s="1282"/>
      <c r="AN5" s="1282"/>
      <c r="AO5" s="1282"/>
      <c r="AP5" s="1282"/>
      <c r="AQ5" s="900" t="s">
        <v>45</v>
      </c>
      <c r="AR5" s="919"/>
      <c r="AS5" s="1281"/>
      <c r="AT5" s="1282"/>
      <c r="AU5" s="1282"/>
      <c r="AV5" s="1282"/>
      <c r="AW5" s="1282"/>
      <c r="AX5" s="900" t="s">
        <v>46</v>
      </c>
      <c r="AY5" s="919"/>
      <c r="AZ5" s="1281"/>
      <c r="BA5" s="1282"/>
      <c r="BB5" s="1282"/>
      <c r="BC5" s="1282"/>
      <c r="BD5" s="1282"/>
      <c r="BE5" s="900" t="s">
        <v>47</v>
      </c>
      <c r="BF5" s="919"/>
      <c r="BG5" s="1281"/>
      <c r="BH5" s="1282"/>
      <c r="BI5" s="1282"/>
      <c r="BJ5" s="1282"/>
      <c r="BK5" s="1282"/>
      <c r="BL5" s="900" t="s">
        <v>48</v>
      </c>
      <c r="BM5" s="919"/>
      <c r="BN5" s="1281"/>
      <c r="BO5" s="1282"/>
      <c r="BP5" s="1282"/>
      <c r="BQ5" s="1282"/>
      <c r="BR5" s="1282"/>
      <c r="BS5" s="900" t="s">
        <v>49</v>
      </c>
      <c r="BT5" s="919"/>
      <c r="BU5" s="1281"/>
      <c r="BV5" s="1282"/>
      <c r="BW5" s="1282"/>
      <c r="BX5" s="1282"/>
      <c r="BY5" s="1282"/>
      <c r="BZ5" s="900" t="s">
        <v>50</v>
      </c>
      <c r="CA5" s="919"/>
      <c r="CB5" s="1281"/>
      <c r="CC5" s="1282"/>
      <c r="CD5" s="1282"/>
      <c r="CE5" s="1282"/>
      <c r="CF5" s="1282"/>
      <c r="CG5" s="900" t="s">
        <v>51</v>
      </c>
      <c r="CH5" s="919"/>
      <c r="CI5" s="1281"/>
      <c r="CJ5" s="1282"/>
      <c r="CK5" s="1282"/>
      <c r="CL5" s="1282"/>
      <c r="CM5" s="1282"/>
      <c r="CN5" s="900" t="s">
        <v>52</v>
      </c>
      <c r="CO5" s="919"/>
      <c r="CP5" s="1281"/>
      <c r="CQ5" s="1282"/>
      <c r="CR5" s="1282"/>
      <c r="CS5" s="1282"/>
      <c r="CT5" s="1282"/>
      <c r="CU5" s="900" t="s">
        <v>53</v>
      </c>
      <c r="CV5" s="919"/>
      <c r="CW5" s="1281"/>
      <c r="CX5" s="1282"/>
      <c r="CY5" s="1282"/>
      <c r="CZ5" s="1282"/>
      <c r="DA5" s="1282"/>
      <c r="DB5" s="900" t="s">
        <v>360</v>
      </c>
      <c r="DC5" s="919"/>
      <c r="DD5" s="1281"/>
      <c r="DE5" s="1282"/>
      <c r="DF5" s="1282"/>
      <c r="DG5" s="1282"/>
      <c r="DH5" s="1282"/>
      <c r="DI5" s="900" t="s">
        <v>361</v>
      </c>
      <c r="DJ5" s="919"/>
      <c r="DK5" s="1281"/>
      <c r="DL5" s="1282"/>
      <c r="DM5" s="1282"/>
      <c r="DN5" s="1282"/>
      <c r="DO5" s="1282"/>
      <c r="DP5" s="900" t="s">
        <v>362</v>
      </c>
      <c r="DQ5" s="919"/>
      <c r="DR5" s="1281"/>
      <c r="DS5" s="1282"/>
      <c r="DT5" s="1282"/>
      <c r="DU5" s="1282"/>
      <c r="DV5" s="1282"/>
      <c r="DW5" s="900" t="s">
        <v>363</v>
      </c>
      <c r="DX5" s="919">
        <f>'Variante Vorgaben'!$B$11</f>
        <v>2000</v>
      </c>
      <c r="DY5" s="1281"/>
      <c r="DZ5" s="1282"/>
      <c r="EA5" s="1282"/>
      <c r="EB5" s="1282"/>
      <c r="EC5" s="1282"/>
      <c r="ED5" s="900" t="s">
        <v>364</v>
      </c>
      <c r="EE5" s="919"/>
      <c r="EF5" s="1281"/>
      <c r="EG5" s="1282"/>
      <c r="EH5" s="1282"/>
      <c r="EI5" s="1282"/>
      <c r="EJ5" s="1282"/>
    </row>
    <row r="6" spans="1:187" s="3" customFormat="1" ht="16.5" customHeight="1" x14ac:dyDescent="0.25">
      <c r="A6" s="814" t="s">
        <v>243</v>
      </c>
      <c r="B6" s="597"/>
      <c r="C6" s="450"/>
      <c r="D6" s="434"/>
      <c r="E6" s="901" t="s">
        <v>110</v>
      </c>
      <c r="F6" s="66"/>
      <c r="G6" s="450"/>
      <c r="H6" s="814" t="s">
        <v>243</v>
      </c>
      <c r="I6" s="597"/>
      <c r="J6" s="450"/>
      <c r="K6" s="434"/>
      <c r="M6" s="249" t="s">
        <v>110</v>
      </c>
      <c r="N6" s="450"/>
      <c r="O6" s="814" t="s">
        <v>243</v>
      </c>
      <c r="P6" s="597"/>
      <c r="Q6" s="450"/>
      <c r="R6" s="434"/>
      <c r="T6" s="249" t="s">
        <v>110</v>
      </c>
      <c r="U6" s="450"/>
      <c r="V6" s="814" t="s">
        <v>243</v>
      </c>
      <c r="W6" s="597"/>
      <c r="X6" s="450"/>
      <c r="Y6" s="434"/>
      <c r="AA6" s="249" t="s">
        <v>110</v>
      </c>
      <c r="AB6" s="450"/>
      <c r="AC6" s="814" t="s">
        <v>243</v>
      </c>
      <c r="AD6" s="597"/>
      <c r="AE6" s="450"/>
      <c r="AF6" s="434"/>
      <c r="AG6" s="818"/>
      <c r="AH6" s="249" t="s">
        <v>110</v>
      </c>
      <c r="AI6" s="2"/>
      <c r="AJ6" s="814" t="s">
        <v>243</v>
      </c>
      <c r="AK6" s="597"/>
      <c r="AL6" s="450"/>
      <c r="AM6" s="434"/>
      <c r="AO6" s="249" t="s">
        <v>110</v>
      </c>
      <c r="AP6" s="450"/>
      <c r="AQ6" s="814" t="s">
        <v>243</v>
      </c>
      <c r="AR6" s="597"/>
      <c r="AS6" s="450"/>
      <c r="AT6" s="434"/>
      <c r="AV6" s="249" t="s">
        <v>110</v>
      </c>
      <c r="AW6" s="450"/>
      <c r="AX6" s="814" t="s">
        <v>243</v>
      </c>
      <c r="AY6" s="597"/>
      <c r="AZ6" s="450"/>
      <c r="BA6" s="434"/>
      <c r="BB6" s="818"/>
      <c r="BC6" s="249" t="s">
        <v>110</v>
      </c>
      <c r="BD6" s="450"/>
      <c r="BE6" s="814" t="s">
        <v>243</v>
      </c>
      <c r="BF6" s="597"/>
      <c r="BG6" s="450"/>
      <c r="BH6" s="434"/>
      <c r="BJ6" s="249" t="s">
        <v>110</v>
      </c>
      <c r="BK6" s="450"/>
      <c r="BL6" s="814" t="s">
        <v>243</v>
      </c>
      <c r="BM6" s="597"/>
      <c r="BN6" s="450"/>
      <c r="BO6" s="434"/>
      <c r="BQ6" s="249" t="s">
        <v>110</v>
      </c>
      <c r="BR6" s="2"/>
      <c r="BS6" s="814" t="s">
        <v>243</v>
      </c>
      <c r="BT6" s="597"/>
      <c r="BU6" s="450"/>
      <c r="BV6" s="434"/>
      <c r="BX6" s="249" t="s">
        <v>110</v>
      </c>
      <c r="BY6" s="450"/>
      <c r="BZ6" s="814" t="s">
        <v>243</v>
      </c>
      <c r="CA6" s="597"/>
      <c r="CB6" s="450"/>
      <c r="CC6" s="434"/>
      <c r="CE6" s="249" t="s">
        <v>110</v>
      </c>
      <c r="CF6" s="450"/>
      <c r="CG6" s="814" t="s">
        <v>243</v>
      </c>
      <c r="CH6" s="597"/>
      <c r="CI6" s="450"/>
      <c r="CJ6" s="434"/>
      <c r="CL6" s="249" t="s">
        <v>110</v>
      </c>
      <c r="CM6" s="450"/>
      <c r="CN6" s="814" t="s">
        <v>243</v>
      </c>
      <c r="CO6" s="597"/>
      <c r="CP6" s="450"/>
      <c r="CQ6" s="434"/>
      <c r="CS6" s="249" t="s">
        <v>110</v>
      </c>
      <c r="CT6" s="450"/>
      <c r="CU6" s="814" t="s">
        <v>243</v>
      </c>
      <c r="CV6" s="597"/>
      <c r="CW6" s="450"/>
      <c r="CX6" s="434"/>
      <c r="CZ6" s="249" t="s">
        <v>110</v>
      </c>
      <c r="DA6" s="450"/>
      <c r="DB6" s="814" t="s">
        <v>243</v>
      </c>
      <c r="DC6" s="597"/>
      <c r="DD6" s="450"/>
      <c r="DE6" s="434"/>
      <c r="DG6" s="249" t="s">
        <v>110</v>
      </c>
      <c r="DH6" s="450"/>
      <c r="DI6" s="814" t="s">
        <v>243</v>
      </c>
      <c r="DJ6" s="597"/>
      <c r="DK6" s="450"/>
      <c r="DL6" s="434"/>
      <c r="DN6" s="249" t="s">
        <v>110</v>
      </c>
      <c r="DO6" s="450"/>
      <c r="DP6" s="814" t="s">
        <v>243</v>
      </c>
      <c r="DQ6" s="597"/>
      <c r="DR6" s="450"/>
      <c r="DS6" s="434"/>
      <c r="DU6" s="600" t="s">
        <v>110</v>
      </c>
      <c r="DV6" s="450"/>
      <c r="DW6" s="814" t="s">
        <v>243</v>
      </c>
      <c r="DX6" s="597"/>
      <c r="DY6" s="450"/>
      <c r="DZ6" s="434"/>
      <c r="EB6" s="249" t="s">
        <v>110</v>
      </c>
      <c r="EC6" s="450"/>
      <c r="ED6" s="814" t="s">
        <v>243</v>
      </c>
      <c r="EE6" s="597"/>
      <c r="EF6" s="450"/>
      <c r="EG6" s="434"/>
      <c r="EI6" s="249" t="s">
        <v>110</v>
      </c>
      <c r="EJ6" s="450"/>
    </row>
    <row r="7" spans="1:187" s="16" customFormat="1" x14ac:dyDescent="0.2">
      <c r="B7" s="19"/>
      <c r="C7" s="33" t="s">
        <v>54</v>
      </c>
      <c r="D7" s="33" t="s">
        <v>55</v>
      </c>
      <c r="E7" s="34" t="s">
        <v>56</v>
      </c>
      <c r="F7" s="35" t="s">
        <v>57</v>
      </c>
      <c r="G7" s="36" t="s">
        <v>58</v>
      </c>
      <c r="I7" s="19"/>
      <c r="J7" s="33" t="s">
        <v>54</v>
      </c>
      <c r="K7" s="33" t="s">
        <v>55</v>
      </c>
      <c r="L7" s="34" t="s">
        <v>56</v>
      </c>
      <c r="M7" s="35" t="s">
        <v>57</v>
      </c>
      <c r="N7" s="36" t="s">
        <v>58</v>
      </c>
      <c r="P7" s="19"/>
      <c r="Q7" s="33" t="s">
        <v>54</v>
      </c>
      <c r="R7" s="33" t="s">
        <v>55</v>
      </c>
      <c r="S7" s="34" t="s">
        <v>56</v>
      </c>
      <c r="T7" s="35" t="s">
        <v>57</v>
      </c>
      <c r="U7" s="36" t="s">
        <v>58</v>
      </c>
      <c r="W7" s="19"/>
      <c r="X7" s="33" t="s">
        <v>54</v>
      </c>
      <c r="Y7" s="33" t="s">
        <v>55</v>
      </c>
      <c r="Z7" s="34" t="s">
        <v>56</v>
      </c>
      <c r="AA7" s="35" t="s">
        <v>57</v>
      </c>
      <c r="AB7" s="36" t="s">
        <v>58</v>
      </c>
      <c r="AD7" s="19"/>
      <c r="AE7" s="33" t="s">
        <v>54</v>
      </c>
      <c r="AF7" s="33" t="s">
        <v>55</v>
      </c>
      <c r="AG7" s="34" t="s">
        <v>56</v>
      </c>
      <c r="AH7" s="35" t="s">
        <v>57</v>
      </c>
      <c r="AI7" s="36" t="s">
        <v>58</v>
      </c>
      <c r="AK7" s="19"/>
      <c r="AL7" s="33" t="s">
        <v>54</v>
      </c>
      <c r="AM7" s="33" t="s">
        <v>55</v>
      </c>
      <c r="AN7" s="34" t="s">
        <v>56</v>
      </c>
      <c r="AO7" s="35" t="s">
        <v>57</v>
      </c>
      <c r="AP7" s="36" t="s">
        <v>58</v>
      </c>
      <c r="AR7" s="19"/>
      <c r="AS7" s="33" t="s">
        <v>54</v>
      </c>
      <c r="AT7" s="33" t="s">
        <v>55</v>
      </c>
      <c r="AU7" s="34" t="s">
        <v>56</v>
      </c>
      <c r="AV7" s="35" t="s">
        <v>57</v>
      </c>
      <c r="AW7" s="36" t="s">
        <v>58</v>
      </c>
      <c r="AY7" s="19"/>
      <c r="AZ7" s="33" t="s">
        <v>54</v>
      </c>
      <c r="BA7" s="33" t="s">
        <v>55</v>
      </c>
      <c r="BB7" s="34" t="s">
        <v>56</v>
      </c>
      <c r="BC7" s="35" t="s">
        <v>57</v>
      </c>
      <c r="BD7" s="36" t="s">
        <v>58</v>
      </c>
      <c r="BF7" s="19"/>
      <c r="BG7" s="33" t="s">
        <v>54</v>
      </c>
      <c r="BH7" s="33" t="s">
        <v>55</v>
      </c>
      <c r="BI7" s="34" t="s">
        <v>56</v>
      </c>
      <c r="BJ7" s="35" t="s">
        <v>57</v>
      </c>
      <c r="BK7" s="36" t="s">
        <v>58</v>
      </c>
      <c r="BM7" s="19"/>
      <c r="BN7" s="33" t="s">
        <v>54</v>
      </c>
      <c r="BO7" s="33" t="s">
        <v>55</v>
      </c>
      <c r="BP7" s="34" t="s">
        <v>56</v>
      </c>
      <c r="BQ7" s="35" t="s">
        <v>57</v>
      </c>
      <c r="BR7" s="36" t="s">
        <v>58</v>
      </c>
      <c r="BT7" s="19"/>
      <c r="BU7" s="33" t="s">
        <v>54</v>
      </c>
      <c r="BV7" s="33" t="s">
        <v>55</v>
      </c>
      <c r="BW7" s="34" t="s">
        <v>56</v>
      </c>
      <c r="BX7" s="35" t="s">
        <v>57</v>
      </c>
      <c r="BY7" s="36" t="s">
        <v>58</v>
      </c>
      <c r="CA7" s="19"/>
      <c r="CB7" s="33" t="s">
        <v>54</v>
      </c>
      <c r="CC7" s="33" t="s">
        <v>55</v>
      </c>
      <c r="CD7" s="34" t="s">
        <v>56</v>
      </c>
      <c r="CE7" s="35" t="s">
        <v>57</v>
      </c>
      <c r="CF7" s="36" t="s">
        <v>58</v>
      </c>
      <c r="CH7" s="19"/>
      <c r="CI7" s="33" t="s">
        <v>54</v>
      </c>
      <c r="CJ7" s="33" t="s">
        <v>55</v>
      </c>
      <c r="CK7" s="34" t="s">
        <v>56</v>
      </c>
      <c r="CL7" s="35" t="s">
        <v>57</v>
      </c>
      <c r="CM7" s="36" t="s">
        <v>58</v>
      </c>
      <c r="CO7" s="19"/>
      <c r="CP7" s="33" t="s">
        <v>54</v>
      </c>
      <c r="CQ7" s="33" t="s">
        <v>55</v>
      </c>
      <c r="CR7" s="34" t="s">
        <v>56</v>
      </c>
      <c r="CS7" s="35" t="s">
        <v>57</v>
      </c>
      <c r="CT7" s="36" t="s">
        <v>58</v>
      </c>
      <c r="CV7" s="19"/>
      <c r="CW7" s="33" t="s">
        <v>54</v>
      </c>
      <c r="CX7" s="33" t="s">
        <v>55</v>
      </c>
      <c r="CY7" s="34" t="s">
        <v>56</v>
      </c>
      <c r="CZ7" s="35" t="s">
        <v>57</v>
      </c>
      <c r="DA7" s="36" t="s">
        <v>58</v>
      </c>
      <c r="DC7" s="19"/>
      <c r="DD7" s="33" t="s">
        <v>54</v>
      </c>
      <c r="DE7" s="33" t="s">
        <v>55</v>
      </c>
      <c r="DF7" s="34" t="s">
        <v>56</v>
      </c>
      <c r="DG7" s="35" t="s">
        <v>57</v>
      </c>
      <c r="DH7" s="36" t="s">
        <v>58</v>
      </c>
      <c r="DJ7" s="19"/>
      <c r="DK7" s="33" t="s">
        <v>54</v>
      </c>
      <c r="DL7" s="33" t="s">
        <v>55</v>
      </c>
      <c r="DM7" s="34" t="s">
        <v>56</v>
      </c>
      <c r="DN7" s="35" t="s">
        <v>57</v>
      </c>
      <c r="DO7" s="36" t="s">
        <v>58</v>
      </c>
      <c r="DQ7" s="19"/>
      <c r="DR7" s="33" t="s">
        <v>54</v>
      </c>
      <c r="DS7" s="33" t="s">
        <v>55</v>
      </c>
      <c r="DT7" s="34" t="s">
        <v>56</v>
      </c>
      <c r="DU7" s="35" t="s">
        <v>57</v>
      </c>
      <c r="DV7" s="36" t="s">
        <v>58</v>
      </c>
      <c r="DX7" s="19"/>
      <c r="DY7" s="33" t="s">
        <v>54</v>
      </c>
      <c r="DZ7" s="33" t="s">
        <v>55</v>
      </c>
      <c r="EA7" s="34" t="s">
        <v>56</v>
      </c>
      <c r="EB7" s="35" t="s">
        <v>57</v>
      </c>
      <c r="EC7" s="36" t="s">
        <v>58</v>
      </c>
      <c r="EE7" s="19"/>
      <c r="EF7" s="33" t="s">
        <v>54</v>
      </c>
      <c r="EG7" s="33" t="s">
        <v>55</v>
      </c>
      <c r="EH7" s="34" t="s">
        <v>56</v>
      </c>
      <c r="EI7" s="35" t="s">
        <v>57</v>
      </c>
      <c r="EJ7" s="36" t="s">
        <v>58</v>
      </c>
    </row>
    <row r="8" spans="1:187" s="52" customFormat="1" ht="15.75" customHeight="1" x14ac:dyDescent="0.2">
      <c r="B8" s="125"/>
      <c r="C8" s="115"/>
      <c r="D8" s="192"/>
      <c r="E8" s="270"/>
      <c r="F8" s="60"/>
      <c r="G8" s="87"/>
      <c r="I8" s="125"/>
      <c r="J8" s="115"/>
      <c r="K8" s="192"/>
      <c r="L8" s="270"/>
      <c r="M8" s="60"/>
      <c r="N8" s="87"/>
      <c r="P8" s="125"/>
      <c r="Q8" s="115"/>
      <c r="R8" s="192"/>
      <c r="S8" s="270"/>
      <c r="T8" s="60"/>
      <c r="U8" s="87"/>
      <c r="W8" s="125"/>
      <c r="X8" s="115"/>
      <c r="Y8" s="192"/>
      <c r="Z8" s="270"/>
      <c r="AA8" s="60"/>
      <c r="AB8" s="87"/>
      <c r="AD8" s="125"/>
      <c r="AE8" s="115"/>
      <c r="AF8" s="192"/>
      <c r="AG8" s="270"/>
      <c r="AH8" s="60"/>
      <c r="AI8" s="87"/>
      <c r="AK8" s="125"/>
      <c r="AL8" s="115"/>
      <c r="AM8" s="192"/>
      <c r="AN8" s="270"/>
      <c r="AO8" s="60"/>
      <c r="AP8" s="87"/>
      <c r="AR8" s="125"/>
      <c r="AS8" s="115"/>
      <c r="AT8" s="192"/>
      <c r="AU8" s="270"/>
      <c r="AV8" s="60"/>
      <c r="AW8" s="87"/>
      <c r="AY8" s="125"/>
      <c r="AZ8" s="115"/>
      <c r="BA8" s="192"/>
      <c r="BB8" s="270"/>
      <c r="BC8" s="60"/>
      <c r="BD8" s="87"/>
      <c r="BF8" s="125"/>
      <c r="BG8" s="115"/>
      <c r="BH8" s="192"/>
      <c r="BI8" s="270"/>
      <c r="BJ8" s="60"/>
      <c r="BK8" s="87"/>
      <c r="BM8" s="125"/>
      <c r="BN8" s="115"/>
      <c r="BO8" s="192"/>
      <c r="BP8" s="270"/>
      <c r="BQ8" s="60"/>
      <c r="BR8" s="87"/>
      <c r="BT8" s="125"/>
      <c r="BU8" s="115"/>
      <c r="BV8" s="192"/>
      <c r="BW8" s="270"/>
      <c r="BX8" s="60"/>
      <c r="BY8" s="87"/>
      <c r="CA8" s="125"/>
      <c r="CB8" s="115"/>
      <c r="CC8" s="192"/>
      <c r="CD8" s="270"/>
      <c r="CE8" s="60"/>
      <c r="CF8" s="87"/>
      <c r="CH8" s="125"/>
      <c r="CI8" s="115"/>
      <c r="CJ8" s="192"/>
      <c r="CK8" s="270"/>
      <c r="CL8" s="60"/>
      <c r="CM8" s="87"/>
      <c r="CO8" s="125"/>
      <c r="CP8" s="115"/>
      <c r="CQ8" s="192"/>
      <c r="CR8" s="270"/>
      <c r="CS8" s="60"/>
      <c r="CT8" s="87"/>
      <c r="CV8" s="125"/>
      <c r="CW8" s="115"/>
      <c r="CX8" s="192"/>
      <c r="CY8" s="270"/>
      <c r="CZ8" s="60"/>
      <c r="DA8" s="211"/>
      <c r="DC8" s="125"/>
      <c r="DD8" s="115"/>
      <c r="DE8" s="192"/>
      <c r="DF8" s="270"/>
      <c r="DG8" s="60"/>
      <c r="DH8" s="211"/>
      <c r="DJ8" s="125"/>
      <c r="DK8" s="115"/>
      <c r="DL8" s="192"/>
      <c r="DM8" s="270"/>
      <c r="DN8" s="60"/>
      <c r="DO8" s="211"/>
      <c r="DQ8" s="125"/>
      <c r="DR8" s="115"/>
      <c r="DS8" s="192"/>
      <c r="DT8" s="270"/>
      <c r="DU8" s="60"/>
      <c r="DV8" s="211"/>
      <c r="DX8" s="125"/>
      <c r="DY8" s="115"/>
      <c r="DZ8" s="192"/>
      <c r="EA8" s="270"/>
      <c r="EB8" s="60"/>
      <c r="EC8" s="211"/>
      <c r="EE8" s="125"/>
      <c r="EF8" s="115"/>
      <c r="EG8" s="192"/>
      <c r="EH8" s="270"/>
      <c r="EI8" s="60"/>
      <c r="EJ8" s="211"/>
    </row>
    <row r="9" spans="1:187" s="52" customFormat="1" ht="15.75" customHeight="1" x14ac:dyDescent="0.2">
      <c r="A9" s="106" t="s">
        <v>259</v>
      </c>
      <c r="B9" s="106" t="str">
        <f>'Variante Vorgaben'!$B$46</f>
        <v>Klasse I</v>
      </c>
      <c r="C9" s="115">
        <f>D9/B5</f>
        <v>0</v>
      </c>
      <c r="D9" s="192">
        <f>G9*D12</f>
        <v>0</v>
      </c>
      <c r="E9" s="270">
        <f>'Variante Vorgaben'!B47</f>
        <v>1.22</v>
      </c>
      <c r="F9" s="60">
        <f>D9*E9</f>
        <v>0</v>
      </c>
      <c r="G9" s="87">
        <f>'Variante Vorgaben'!B75</f>
        <v>0.7</v>
      </c>
      <c r="H9" s="106" t="s">
        <v>259</v>
      </c>
      <c r="I9" s="106" t="str">
        <f>'Variante Vorgaben'!$B$46</f>
        <v>Klasse I</v>
      </c>
      <c r="J9" s="115">
        <f>K9/$B$5</f>
        <v>1.05</v>
      </c>
      <c r="K9" s="192">
        <f>N9*K12</f>
        <v>2100</v>
      </c>
      <c r="L9" s="270">
        <f>'Variante Vorgaben'!B48</f>
        <v>1.22</v>
      </c>
      <c r="M9" s="60">
        <f>K9*L9</f>
        <v>2562</v>
      </c>
      <c r="N9" s="87">
        <f>'Variante Vorgaben'!B76</f>
        <v>0.7</v>
      </c>
      <c r="O9" s="106" t="s">
        <v>259</v>
      </c>
      <c r="P9" s="106" t="str">
        <f>'Variante Vorgaben'!$B$46</f>
        <v>Klasse I</v>
      </c>
      <c r="Q9" s="115">
        <f>R9/$B$5</f>
        <v>1.75</v>
      </c>
      <c r="R9" s="192">
        <f>U9*R12</f>
        <v>3500</v>
      </c>
      <c r="S9" s="270">
        <f>'Variante Vorgaben'!B49</f>
        <v>1.22</v>
      </c>
      <c r="T9" s="60">
        <f>R9*S9</f>
        <v>4270</v>
      </c>
      <c r="U9" s="87">
        <f>'Variante Vorgaben'!B77</f>
        <v>0.7</v>
      </c>
      <c r="V9" s="106" t="s">
        <v>259</v>
      </c>
      <c r="W9" s="106" t="str">
        <f>'Variante Vorgaben'!$B$46</f>
        <v>Klasse I</v>
      </c>
      <c r="X9" s="115">
        <f>Y9/$B$5</f>
        <v>3.5</v>
      </c>
      <c r="Y9" s="192">
        <f>AB9*Y12</f>
        <v>7000</v>
      </c>
      <c r="Z9" s="270">
        <f>'Variante Vorgaben'!B50</f>
        <v>1.22</v>
      </c>
      <c r="AA9" s="60">
        <f>Y9*Z9</f>
        <v>8540</v>
      </c>
      <c r="AB9" s="87">
        <f>'Variante Vorgaben'!B78</f>
        <v>0.7</v>
      </c>
      <c r="AC9" s="106" t="s">
        <v>259</v>
      </c>
      <c r="AD9" s="106" t="str">
        <f>'Variante Vorgaben'!$B$46</f>
        <v>Klasse I</v>
      </c>
      <c r="AE9" s="115">
        <f>AF9/$B$5</f>
        <v>7</v>
      </c>
      <c r="AF9" s="192">
        <f>AI9*AF12</f>
        <v>14000</v>
      </c>
      <c r="AG9" s="270">
        <f>'Variante Vorgaben'!B51</f>
        <v>1.22</v>
      </c>
      <c r="AH9" s="60">
        <f>AF9*AG9</f>
        <v>17080</v>
      </c>
      <c r="AI9" s="87">
        <f>'Variante Vorgaben'!B79</f>
        <v>0.7</v>
      </c>
      <c r="AJ9" s="106" t="s">
        <v>259</v>
      </c>
      <c r="AK9" s="106" t="str">
        <f>'Variante Vorgaben'!$B$46</f>
        <v>Klasse I</v>
      </c>
      <c r="AL9" s="115">
        <f>AM9/$B$5</f>
        <v>11.2</v>
      </c>
      <c r="AM9" s="192">
        <f>AP9*AM12</f>
        <v>22400</v>
      </c>
      <c r="AN9" s="270">
        <f>'Variante Vorgaben'!B52</f>
        <v>1.22</v>
      </c>
      <c r="AO9" s="60">
        <f>AM9*AN9</f>
        <v>27328</v>
      </c>
      <c r="AP9" s="87">
        <f>'Variante Vorgaben'!B80</f>
        <v>0.7</v>
      </c>
      <c r="AQ9" s="106" t="s">
        <v>259</v>
      </c>
      <c r="AR9" s="106" t="str">
        <f>'Variante Vorgaben'!$B$46</f>
        <v>Klasse I</v>
      </c>
      <c r="AS9" s="115">
        <f>AT9/$B$5</f>
        <v>11.2</v>
      </c>
      <c r="AT9" s="192">
        <f>AW9*AT12</f>
        <v>22400</v>
      </c>
      <c r="AU9" s="270">
        <f>'Variante Vorgaben'!B53</f>
        <v>1.22</v>
      </c>
      <c r="AV9" s="60">
        <f>AT9*AU9</f>
        <v>27328</v>
      </c>
      <c r="AW9" s="87">
        <f>'Variante Vorgaben'!B81</f>
        <v>0.7</v>
      </c>
      <c r="AX9" s="106" t="s">
        <v>259</v>
      </c>
      <c r="AY9" s="106" t="str">
        <f>'Variante Vorgaben'!$B$46</f>
        <v>Klasse I</v>
      </c>
      <c r="AZ9" s="115">
        <f>BA9/$B$5</f>
        <v>11.2</v>
      </c>
      <c r="BA9" s="192">
        <f>BD9*BA12</f>
        <v>22400</v>
      </c>
      <c r="BB9" s="270">
        <f>'Variante Vorgaben'!B54</f>
        <v>1.22</v>
      </c>
      <c r="BC9" s="60">
        <f>BA9*BB9</f>
        <v>27328</v>
      </c>
      <c r="BD9" s="87">
        <f>'Variante Vorgaben'!B82</f>
        <v>0.7</v>
      </c>
      <c r="BE9" s="106" t="s">
        <v>259</v>
      </c>
      <c r="BF9" s="106" t="str">
        <f>'Variante Vorgaben'!$B$46</f>
        <v>Klasse I</v>
      </c>
      <c r="BG9" s="115">
        <f>BH9/$B$5</f>
        <v>11.2</v>
      </c>
      <c r="BH9" s="192">
        <f>BK9*BH12</f>
        <v>22400</v>
      </c>
      <c r="BI9" s="270">
        <f>'Variante Vorgaben'!B55</f>
        <v>1.22</v>
      </c>
      <c r="BJ9" s="60">
        <f>BH9*BI9</f>
        <v>27328</v>
      </c>
      <c r="BK9" s="87">
        <f>'Variante Vorgaben'!B82</f>
        <v>0.7</v>
      </c>
      <c r="BL9" s="106" t="s">
        <v>259</v>
      </c>
      <c r="BM9" s="106" t="str">
        <f>'Variante Vorgaben'!$B$46</f>
        <v>Klasse I</v>
      </c>
      <c r="BN9" s="115">
        <f>BO9/$B$5</f>
        <v>11.2</v>
      </c>
      <c r="BO9" s="192">
        <f>BR9*BO12</f>
        <v>22400</v>
      </c>
      <c r="BP9" s="270">
        <f>'Variante Vorgaben'!B56</f>
        <v>1.22</v>
      </c>
      <c r="BQ9" s="60">
        <f>BO9*BP9</f>
        <v>27328</v>
      </c>
      <c r="BR9" s="87">
        <f>'Variante Vorgaben'!B84</f>
        <v>0.7</v>
      </c>
      <c r="BS9" s="106" t="s">
        <v>259</v>
      </c>
      <c r="BT9" s="106" t="str">
        <f>'Variante Vorgaben'!$B$46</f>
        <v>Klasse I</v>
      </c>
      <c r="BU9" s="115">
        <f>BV9/$B$5</f>
        <v>11.2</v>
      </c>
      <c r="BV9" s="192">
        <f>BY9*BV12</f>
        <v>22400</v>
      </c>
      <c r="BW9" s="270">
        <f>'Variante Vorgaben'!B57</f>
        <v>1.22</v>
      </c>
      <c r="BX9" s="60">
        <f>BV9*BW9</f>
        <v>27328</v>
      </c>
      <c r="BY9" s="87">
        <f>'Variante Vorgaben'!B85</f>
        <v>0.7</v>
      </c>
      <c r="BZ9" s="106" t="s">
        <v>259</v>
      </c>
      <c r="CA9" s="106" t="str">
        <f>'Variante Vorgaben'!$B$46</f>
        <v>Klasse I</v>
      </c>
      <c r="CB9" s="115">
        <f>CC9/$B$5</f>
        <v>11.2</v>
      </c>
      <c r="CC9" s="192">
        <f>CF9*CC12</f>
        <v>22400</v>
      </c>
      <c r="CD9" s="270">
        <f>'Variante Vorgaben'!B58</f>
        <v>1.22</v>
      </c>
      <c r="CE9" s="60">
        <f>CC9*CD9</f>
        <v>27328</v>
      </c>
      <c r="CF9" s="87">
        <f>'Variante Vorgaben'!B86</f>
        <v>0.7</v>
      </c>
      <c r="CG9" s="106" t="s">
        <v>259</v>
      </c>
      <c r="CH9" s="106" t="str">
        <f>'Variante Vorgaben'!$B$46</f>
        <v>Klasse I</v>
      </c>
      <c r="CI9" s="115">
        <f>CJ9/$B$5</f>
        <v>11.2</v>
      </c>
      <c r="CJ9" s="192">
        <f>CM9*CJ12</f>
        <v>22400</v>
      </c>
      <c r="CK9" s="270">
        <f>'Variante Vorgaben'!B59</f>
        <v>1.22</v>
      </c>
      <c r="CL9" s="60">
        <f>CJ9*CK9</f>
        <v>27328</v>
      </c>
      <c r="CM9" s="87">
        <f>'Variante Vorgaben'!B87</f>
        <v>0.7</v>
      </c>
      <c r="CN9" s="106" t="s">
        <v>259</v>
      </c>
      <c r="CO9" s="106" t="str">
        <f>'Variante Vorgaben'!$B$46</f>
        <v>Klasse I</v>
      </c>
      <c r="CP9" s="115">
        <f>CQ9/$B$5</f>
        <v>11.2</v>
      </c>
      <c r="CQ9" s="192">
        <f>CT9*CQ12</f>
        <v>22400</v>
      </c>
      <c r="CR9" s="270">
        <f>'Variante Vorgaben'!B60</f>
        <v>1.22</v>
      </c>
      <c r="CS9" s="60">
        <f>CQ9*CR9</f>
        <v>27328</v>
      </c>
      <c r="CT9" s="87">
        <f>'Variante Vorgaben'!B88</f>
        <v>0.7</v>
      </c>
      <c r="CU9" s="106" t="s">
        <v>259</v>
      </c>
      <c r="CV9" s="106" t="str">
        <f>'Variante Vorgaben'!$B$46</f>
        <v>Klasse I</v>
      </c>
      <c r="CW9" s="115">
        <f>CX9/$B$5</f>
        <v>11.2</v>
      </c>
      <c r="CX9" s="192">
        <f>DA9*CX12</f>
        <v>22400</v>
      </c>
      <c r="CY9" s="270">
        <f>'Variante Vorgaben'!B61</f>
        <v>1.22</v>
      </c>
      <c r="CZ9" s="60">
        <f>CX9*CY9</f>
        <v>27328</v>
      </c>
      <c r="DA9" s="211">
        <f>'Variante Vorgaben'!B89</f>
        <v>0.7</v>
      </c>
      <c r="DB9" s="106" t="s">
        <v>259</v>
      </c>
      <c r="DC9" s="106" t="str">
        <f>'Variante Vorgaben'!$B$46</f>
        <v>Klasse I</v>
      </c>
      <c r="DD9" s="115">
        <f>DE9/$B$5</f>
        <v>11.2</v>
      </c>
      <c r="DE9" s="192">
        <f>DH9*DE12</f>
        <v>22400</v>
      </c>
      <c r="DF9" s="270">
        <f>'Variante Vorgaben'!B62</f>
        <v>1.22</v>
      </c>
      <c r="DG9" s="60">
        <f>DE9*DF9</f>
        <v>27328</v>
      </c>
      <c r="DH9" s="211">
        <f>'Variante Vorgaben'!B90</f>
        <v>0.7</v>
      </c>
      <c r="DI9" s="106" t="s">
        <v>259</v>
      </c>
      <c r="DJ9" s="106" t="str">
        <f>'Variante Vorgaben'!$B$46</f>
        <v>Klasse I</v>
      </c>
      <c r="DK9" s="115">
        <f>DL9/$B$5</f>
        <v>11.2</v>
      </c>
      <c r="DL9" s="192">
        <f>DO9*DL12</f>
        <v>22400</v>
      </c>
      <c r="DM9" s="270">
        <f>'Variante Vorgaben'!B63</f>
        <v>1.22</v>
      </c>
      <c r="DN9" s="60">
        <f>DL9*DM9</f>
        <v>27328</v>
      </c>
      <c r="DO9" s="211">
        <f>'Variante Vorgaben'!B91</f>
        <v>0.7</v>
      </c>
      <c r="DP9" s="106" t="s">
        <v>259</v>
      </c>
      <c r="DQ9" s="106" t="str">
        <f>'Variante Vorgaben'!$B$46</f>
        <v>Klasse I</v>
      </c>
      <c r="DR9" s="115">
        <f>DS9/$B$5</f>
        <v>11.2</v>
      </c>
      <c r="DS9" s="192">
        <f>DV9*DS12</f>
        <v>22400</v>
      </c>
      <c r="DT9" s="270">
        <f>'Variante Vorgaben'!B64</f>
        <v>1.22</v>
      </c>
      <c r="DU9" s="60">
        <f>DS9*DT9</f>
        <v>27328</v>
      </c>
      <c r="DV9" s="211">
        <f>'Variante Vorgaben'!B92</f>
        <v>0.7</v>
      </c>
      <c r="DW9" s="106" t="s">
        <v>259</v>
      </c>
      <c r="DX9" s="106" t="str">
        <f>'Variante Vorgaben'!$B$46</f>
        <v>Klasse I</v>
      </c>
      <c r="DY9" s="115">
        <f>DZ9/$B$5</f>
        <v>11.2</v>
      </c>
      <c r="DZ9" s="192">
        <f>EC9*DZ12</f>
        <v>22400</v>
      </c>
      <c r="EA9" s="270">
        <f>'Variante Vorgaben'!B65</f>
        <v>1.22</v>
      </c>
      <c r="EB9" s="60">
        <f>DZ9*EA9</f>
        <v>27328</v>
      </c>
      <c r="EC9" s="211">
        <f>'Variante Vorgaben'!B93</f>
        <v>0.7</v>
      </c>
      <c r="ED9" s="106" t="s">
        <v>259</v>
      </c>
      <c r="EE9" s="106" t="str">
        <f>'Variante Vorgaben'!$B$46</f>
        <v>Klasse I</v>
      </c>
      <c r="EF9" s="115">
        <f>EG9/$B$5</f>
        <v>11.2</v>
      </c>
      <c r="EG9" s="192">
        <f>EJ9*EG12</f>
        <v>22400</v>
      </c>
      <c r="EH9" s="270">
        <f>'Variante Vorgaben'!B66</f>
        <v>1.22</v>
      </c>
      <c r="EI9" s="60">
        <f>EG9*EH9</f>
        <v>27328</v>
      </c>
      <c r="EJ9" s="211">
        <f>'Variante Vorgaben'!B94</f>
        <v>0.7</v>
      </c>
    </row>
    <row r="10" spans="1:187" s="52" customFormat="1" ht="13.5" customHeight="1" x14ac:dyDescent="0.2">
      <c r="B10" s="106" t="str">
        <f>'Variante Vorgaben'!$C$46</f>
        <v>Klasse II</v>
      </c>
      <c r="C10" s="115">
        <f>D10/B5</f>
        <v>0</v>
      </c>
      <c r="D10" s="192">
        <f>G10*D12</f>
        <v>0</v>
      </c>
      <c r="E10" s="270">
        <f>'Variante Vorgaben'!C47</f>
        <v>0.4</v>
      </c>
      <c r="F10" s="60">
        <f>D10*E10</f>
        <v>0</v>
      </c>
      <c r="G10" s="87">
        <f>'Variante Vorgaben'!C75</f>
        <v>0.05</v>
      </c>
      <c r="I10" s="106" t="str">
        <f>'Variante Vorgaben'!$C$46</f>
        <v>Klasse II</v>
      </c>
      <c r="J10" s="115">
        <f>K10/$B$5</f>
        <v>7.4999999999999997E-2</v>
      </c>
      <c r="K10" s="192">
        <f>N10*K12</f>
        <v>150</v>
      </c>
      <c r="L10" s="270">
        <f>'Variante Vorgaben'!C48</f>
        <v>0.4</v>
      </c>
      <c r="M10" s="60">
        <f>K10*L10</f>
        <v>60</v>
      </c>
      <c r="N10" s="87">
        <f>'Variante Vorgaben'!C76</f>
        <v>0.05</v>
      </c>
      <c r="P10" s="106" t="str">
        <f>'Variante Vorgaben'!$C$46</f>
        <v>Klasse II</v>
      </c>
      <c r="Q10" s="115">
        <f>R10/$B$5</f>
        <v>0.125</v>
      </c>
      <c r="R10" s="192">
        <f>U10*R12</f>
        <v>250</v>
      </c>
      <c r="S10" s="270">
        <f>'Variante Vorgaben'!C49</f>
        <v>0.4</v>
      </c>
      <c r="T10" s="60">
        <f>R10*S10</f>
        <v>100</v>
      </c>
      <c r="U10" s="87">
        <f>'Variante Vorgaben'!C77</f>
        <v>0.05</v>
      </c>
      <c r="W10" s="106" t="str">
        <f>'Variante Vorgaben'!$C$46</f>
        <v>Klasse II</v>
      </c>
      <c r="X10" s="115">
        <f>Y10/$B$5</f>
        <v>0.25</v>
      </c>
      <c r="Y10" s="192">
        <f>AB10*Y12</f>
        <v>500</v>
      </c>
      <c r="Z10" s="270">
        <f>'Variante Vorgaben'!C50</f>
        <v>0.4</v>
      </c>
      <c r="AA10" s="60">
        <f>Y10*Z10</f>
        <v>200</v>
      </c>
      <c r="AB10" s="87">
        <f>'Variante Vorgaben'!C78</f>
        <v>0.05</v>
      </c>
      <c r="AD10" s="106" t="str">
        <f>'Variante Vorgaben'!$C$46</f>
        <v>Klasse II</v>
      </c>
      <c r="AE10" s="115">
        <f>AF10/$B$5</f>
        <v>0.5</v>
      </c>
      <c r="AF10" s="192">
        <f>AI10*AF12</f>
        <v>1000</v>
      </c>
      <c r="AG10" s="270">
        <f>'Variante Vorgaben'!C51</f>
        <v>0.4</v>
      </c>
      <c r="AH10" s="60">
        <f>AF10*AG10</f>
        <v>400</v>
      </c>
      <c r="AI10" s="87">
        <f>'Variante Vorgaben'!C79</f>
        <v>0.05</v>
      </c>
      <c r="AK10" s="106" t="str">
        <f>'Variante Vorgaben'!$C$46</f>
        <v>Klasse II</v>
      </c>
      <c r="AL10" s="115">
        <f>AM10/$B$5</f>
        <v>0.8</v>
      </c>
      <c r="AM10" s="192">
        <f>AP10*AM12</f>
        <v>1600</v>
      </c>
      <c r="AN10" s="270">
        <f>'Variante Vorgaben'!C52</f>
        <v>0.4</v>
      </c>
      <c r="AO10" s="60">
        <f>AM10*AN10</f>
        <v>640</v>
      </c>
      <c r="AP10" s="87">
        <f>'Variante Vorgaben'!C80</f>
        <v>0.05</v>
      </c>
      <c r="AR10" s="106" t="str">
        <f>'Variante Vorgaben'!$C$46</f>
        <v>Klasse II</v>
      </c>
      <c r="AS10" s="115">
        <f>AT10/$B$5</f>
        <v>0.8</v>
      </c>
      <c r="AT10" s="192">
        <f>AW10*AT12</f>
        <v>1600</v>
      </c>
      <c r="AU10" s="270">
        <f>'Variante Vorgaben'!C53</f>
        <v>0.4</v>
      </c>
      <c r="AV10" s="60">
        <f>AT10*AU10</f>
        <v>640</v>
      </c>
      <c r="AW10" s="87">
        <f>'Variante Vorgaben'!C81</f>
        <v>0.05</v>
      </c>
      <c r="AY10" s="106" t="str">
        <f>'Variante Vorgaben'!$C$46</f>
        <v>Klasse II</v>
      </c>
      <c r="AZ10" s="115">
        <f>BA10/$B$5</f>
        <v>0.8</v>
      </c>
      <c r="BA10" s="192">
        <f>BD10*BA12</f>
        <v>1600</v>
      </c>
      <c r="BB10" s="270">
        <f>'Variante Vorgaben'!C54</f>
        <v>0.4</v>
      </c>
      <c r="BC10" s="60">
        <f>BA10*BB10</f>
        <v>640</v>
      </c>
      <c r="BD10" s="87">
        <f>'Variante Vorgaben'!C82</f>
        <v>0.05</v>
      </c>
      <c r="BF10" s="106" t="str">
        <f>'Variante Vorgaben'!$C$46</f>
        <v>Klasse II</v>
      </c>
      <c r="BG10" s="115">
        <f>BH10/$B$5</f>
        <v>0.8</v>
      </c>
      <c r="BH10" s="192">
        <f>BK10*BH12</f>
        <v>1600</v>
      </c>
      <c r="BI10" s="270">
        <f>'Variante Vorgaben'!C55</f>
        <v>0.4</v>
      </c>
      <c r="BJ10" s="60">
        <f>BH10*BI10</f>
        <v>640</v>
      </c>
      <c r="BK10" s="87">
        <f>'Variante Vorgaben'!C83</f>
        <v>0.05</v>
      </c>
      <c r="BM10" s="106" t="str">
        <f>'Variante Vorgaben'!$C$46</f>
        <v>Klasse II</v>
      </c>
      <c r="BN10" s="115">
        <f>BO10/$B$5</f>
        <v>0.8</v>
      </c>
      <c r="BO10" s="192">
        <f>BR10*BO12</f>
        <v>1600</v>
      </c>
      <c r="BP10" s="270">
        <f>'Variante Vorgaben'!C56</f>
        <v>0.4</v>
      </c>
      <c r="BQ10" s="60">
        <f>BO10*BP10</f>
        <v>640</v>
      </c>
      <c r="BR10" s="87">
        <f>'Variante Vorgaben'!C84</f>
        <v>0.05</v>
      </c>
      <c r="BT10" s="106" t="str">
        <f>'Variante Vorgaben'!$C$46</f>
        <v>Klasse II</v>
      </c>
      <c r="BU10" s="115">
        <f>BV10/$B$5</f>
        <v>0.8</v>
      </c>
      <c r="BV10" s="192">
        <f>BY10*BV12</f>
        <v>1600</v>
      </c>
      <c r="BW10" s="270">
        <f>'Variante Vorgaben'!C56</f>
        <v>0.4</v>
      </c>
      <c r="BX10" s="60">
        <f>BV10*BW10</f>
        <v>640</v>
      </c>
      <c r="BY10" s="87">
        <f>'Variante Vorgaben'!C85</f>
        <v>0.05</v>
      </c>
      <c r="CA10" s="106" t="str">
        <f>'Variante Vorgaben'!$C$46</f>
        <v>Klasse II</v>
      </c>
      <c r="CB10" s="115">
        <f>CC10/$B$5</f>
        <v>0.8</v>
      </c>
      <c r="CC10" s="192">
        <f>CF10*CC12</f>
        <v>1600</v>
      </c>
      <c r="CD10" s="270">
        <f>'Variante Vorgaben'!C58</f>
        <v>0.4</v>
      </c>
      <c r="CE10" s="60">
        <f>CC10*CD10</f>
        <v>640</v>
      </c>
      <c r="CF10" s="87">
        <f>'Variante Vorgaben'!C86</f>
        <v>0.05</v>
      </c>
      <c r="CH10" s="106" t="str">
        <f>'Variante Vorgaben'!$C$46</f>
        <v>Klasse II</v>
      </c>
      <c r="CI10" s="115">
        <f>CJ10/$B$5</f>
        <v>0.8</v>
      </c>
      <c r="CJ10" s="192">
        <f>CM10*CJ12</f>
        <v>1600</v>
      </c>
      <c r="CK10" s="270">
        <f>'Variante Vorgaben'!C59</f>
        <v>0.4</v>
      </c>
      <c r="CL10" s="60">
        <f>CJ10*CK10</f>
        <v>640</v>
      </c>
      <c r="CM10" s="87">
        <f>'Variante Vorgaben'!C87</f>
        <v>0.05</v>
      </c>
      <c r="CO10" s="106" t="str">
        <f>'Variante Vorgaben'!$C$46</f>
        <v>Klasse II</v>
      </c>
      <c r="CP10" s="115">
        <f>CQ10/$B$5</f>
        <v>0.8</v>
      </c>
      <c r="CQ10" s="192">
        <f>CT10*CQ12</f>
        <v>1600</v>
      </c>
      <c r="CR10" s="270">
        <f>'Variante Vorgaben'!C60</f>
        <v>0.4</v>
      </c>
      <c r="CS10" s="60">
        <f>CQ10*CR10</f>
        <v>640</v>
      </c>
      <c r="CT10" s="87">
        <f>'Variante Vorgaben'!C88</f>
        <v>0.05</v>
      </c>
      <c r="CV10" s="106" t="str">
        <f>'Variante Vorgaben'!$C$46</f>
        <v>Klasse II</v>
      </c>
      <c r="CW10" s="115">
        <f>CX10/$B$5</f>
        <v>0.8</v>
      </c>
      <c r="CX10" s="192">
        <f>DA10*CX12</f>
        <v>1600</v>
      </c>
      <c r="CY10" s="270">
        <f>'Variante Vorgaben'!C61</f>
        <v>0.4</v>
      </c>
      <c r="CZ10" s="60">
        <f>CX10*CY10</f>
        <v>640</v>
      </c>
      <c r="DA10" s="211">
        <f>'Variante Vorgaben'!C89</f>
        <v>0.05</v>
      </c>
      <c r="DC10" s="106" t="str">
        <f>'Variante Vorgaben'!$C$46</f>
        <v>Klasse II</v>
      </c>
      <c r="DD10" s="115">
        <f>DE10/$B$5</f>
        <v>0.8</v>
      </c>
      <c r="DE10" s="192">
        <f>DH10*DE12</f>
        <v>1600</v>
      </c>
      <c r="DF10" s="270">
        <f>'Variante Vorgaben'!C62</f>
        <v>0.4</v>
      </c>
      <c r="DG10" s="60">
        <f>DE10*DF10</f>
        <v>640</v>
      </c>
      <c r="DH10" s="211">
        <f>'Variante Vorgaben'!C90</f>
        <v>0.05</v>
      </c>
      <c r="DJ10" s="106" t="str">
        <f>'Variante Vorgaben'!$C$46</f>
        <v>Klasse II</v>
      </c>
      <c r="DK10" s="115">
        <f>DL10/$B$5</f>
        <v>0.8</v>
      </c>
      <c r="DL10" s="192">
        <f>DO10*DL12</f>
        <v>1600</v>
      </c>
      <c r="DM10" s="270">
        <f>'Variante Vorgaben'!C63</f>
        <v>0.4</v>
      </c>
      <c r="DN10" s="60">
        <f>DL10*DM10</f>
        <v>640</v>
      </c>
      <c r="DO10" s="211">
        <f>'Variante Vorgaben'!C91</f>
        <v>0.05</v>
      </c>
      <c r="DQ10" s="106" t="str">
        <f>'Variante Vorgaben'!$C$46</f>
        <v>Klasse II</v>
      </c>
      <c r="DR10" s="115">
        <f>DS10/$B$5</f>
        <v>0.8</v>
      </c>
      <c r="DS10" s="192">
        <f>DV10*DS12</f>
        <v>1600</v>
      </c>
      <c r="DT10" s="270">
        <f>'Variante Vorgaben'!C64</f>
        <v>0.4</v>
      </c>
      <c r="DU10" s="60">
        <f>DS10*DT10</f>
        <v>640</v>
      </c>
      <c r="DV10" s="211">
        <f>'Variante Vorgaben'!C92</f>
        <v>0.05</v>
      </c>
      <c r="DX10" s="106" t="str">
        <f>'Variante Vorgaben'!$C$46</f>
        <v>Klasse II</v>
      </c>
      <c r="DY10" s="115">
        <f>DZ10/$B$5</f>
        <v>0.8</v>
      </c>
      <c r="DZ10" s="192">
        <f>EC10*DZ12</f>
        <v>1600</v>
      </c>
      <c r="EA10" s="270">
        <f>'Variante Vorgaben'!C65</f>
        <v>0.4</v>
      </c>
      <c r="EB10" s="60">
        <f>DZ10*EA10</f>
        <v>640</v>
      </c>
      <c r="EC10" s="211">
        <f>'Variante Vorgaben'!C93</f>
        <v>0.05</v>
      </c>
      <c r="EE10" s="106" t="str">
        <f>'Variante Vorgaben'!$C$46</f>
        <v>Klasse II</v>
      </c>
      <c r="EF10" s="115">
        <f>EG10/$B$5</f>
        <v>0.8</v>
      </c>
      <c r="EG10" s="192">
        <f>EJ10*EG12</f>
        <v>1600</v>
      </c>
      <c r="EH10" s="270">
        <f>'Variante Vorgaben'!C66</f>
        <v>0.4</v>
      </c>
      <c r="EI10" s="60">
        <f>EG10*EH10</f>
        <v>640</v>
      </c>
      <c r="EJ10" s="211">
        <f>'Variante Vorgaben'!C94</f>
        <v>0.05</v>
      </c>
    </row>
    <row r="11" spans="1:187" s="52" customFormat="1" ht="13.5" customHeight="1" x14ac:dyDescent="0.2">
      <c r="B11" s="125" t="str">
        <f>'Variante Vorgaben'!$D$46</f>
        <v>Mostobst total</v>
      </c>
      <c r="C11" s="116">
        <f>D11/$B$5</f>
        <v>0</v>
      </c>
      <c r="D11" s="117">
        <f>D12*G11</f>
        <v>0</v>
      </c>
      <c r="E11" s="602">
        <f>'Variante Vorgaben'!D47</f>
        <v>0</v>
      </c>
      <c r="F11" s="118">
        <f>D11*E11</f>
        <v>0</v>
      </c>
      <c r="G11" s="87">
        <f>'Variante Vorgaben'!F75</f>
        <v>0.25</v>
      </c>
      <c r="I11" s="125" t="str">
        <f>'Variante Vorgaben'!$D$46</f>
        <v>Mostobst total</v>
      </c>
      <c r="J11" s="116">
        <f>K11/$B$5</f>
        <v>0.375</v>
      </c>
      <c r="K11" s="117">
        <f>K12*N11</f>
        <v>750</v>
      </c>
      <c r="L11" s="602">
        <f>'Variante Vorgaben'!D48</f>
        <v>0</v>
      </c>
      <c r="M11" s="118">
        <f>K11*L11</f>
        <v>0</v>
      </c>
      <c r="N11" s="87">
        <f>'Variante Vorgaben'!F76</f>
        <v>0.25</v>
      </c>
      <c r="P11" s="125" t="str">
        <f>'Variante Vorgaben'!$D$46</f>
        <v>Mostobst total</v>
      </c>
      <c r="Q11" s="116">
        <f>R11/$B$5</f>
        <v>0.625</v>
      </c>
      <c r="R11" s="117">
        <f>R12*U11</f>
        <v>1250</v>
      </c>
      <c r="S11" s="602">
        <f>'Variante Vorgaben'!D49</f>
        <v>0</v>
      </c>
      <c r="T11" s="118">
        <f>R11*S11</f>
        <v>0</v>
      </c>
      <c r="U11" s="87">
        <f>'Variante Vorgaben'!F77</f>
        <v>0.25</v>
      </c>
      <c r="W11" s="125" t="str">
        <f>'Variante Vorgaben'!$D$46</f>
        <v>Mostobst total</v>
      </c>
      <c r="X11" s="116">
        <f>Y11/$B$5</f>
        <v>1.25</v>
      </c>
      <c r="Y11" s="117">
        <f>Y12*AB11</f>
        <v>2500</v>
      </c>
      <c r="Z11" s="602">
        <f>'Variante Vorgaben'!D50</f>
        <v>0</v>
      </c>
      <c r="AA11" s="118">
        <f>Y11*Z11</f>
        <v>0</v>
      </c>
      <c r="AB11" s="87">
        <f>'Variante Vorgaben'!F78</f>
        <v>0.25</v>
      </c>
      <c r="AD11" s="125" t="str">
        <f>'Variante Vorgaben'!$D$46</f>
        <v>Mostobst total</v>
      </c>
      <c r="AE11" s="116">
        <f>AF11/$B$5</f>
        <v>2.5</v>
      </c>
      <c r="AF11" s="117">
        <f>AF12*AI11</f>
        <v>5000</v>
      </c>
      <c r="AG11" s="602">
        <f>'Variante Vorgaben'!D51</f>
        <v>0</v>
      </c>
      <c r="AH11" s="118">
        <f>AF11*AG11</f>
        <v>0</v>
      </c>
      <c r="AI11" s="87">
        <f>'Variante Vorgaben'!F79</f>
        <v>0.25</v>
      </c>
      <c r="AK11" s="125" t="str">
        <f>'Variante Vorgaben'!$D$46</f>
        <v>Mostobst total</v>
      </c>
      <c r="AL11" s="116">
        <f>AM11/$B$5</f>
        <v>4</v>
      </c>
      <c r="AM11" s="117">
        <f>AM12*AP11</f>
        <v>8000</v>
      </c>
      <c r="AN11" s="602">
        <f>'Variante Vorgaben'!D52</f>
        <v>0</v>
      </c>
      <c r="AO11" s="118">
        <f>AM11*AN11</f>
        <v>0</v>
      </c>
      <c r="AP11" s="87">
        <f>'Variante Vorgaben'!F80</f>
        <v>0.25</v>
      </c>
      <c r="AR11" s="125" t="str">
        <f>'Variante Vorgaben'!$D$46</f>
        <v>Mostobst total</v>
      </c>
      <c r="AS11" s="116">
        <f>AT11/$B$5</f>
        <v>4</v>
      </c>
      <c r="AT11" s="117">
        <f>AT12*AW11</f>
        <v>8000</v>
      </c>
      <c r="AU11" s="602">
        <f>'Variante Vorgaben'!D53</f>
        <v>0</v>
      </c>
      <c r="AV11" s="118">
        <f>AT11*AU11</f>
        <v>0</v>
      </c>
      <c r="AW11" s="87">
        <f>'Variante Vorgaben'!F81</f>
        <v>0.25</v>
      </c>
      <c r="AY11" s="125" t="str">
        <f>'Variante Vorgaben'!$D$46</f>
        <v>Mostobst total</v>
      </c>
      <c r="AZ11" s="116">
        <f>BA11/$B$5</f>
        <v>4</v>
      </c>
      <c r="BA11" s="117">
        <f>BA12*BD11</f>
        <v>8000</v>
      </c>
      <c r="BB11" s="602">
        <f>'Variante Vorgaben'!D54</f>
        <v>0</v>
      </c>
      <c r="BC11" s="118">
        <f>BA11*BB11</f>
        <v>0</v>
      </c>
      <c r="BD11" s="87">
        <f>'Variante Vorgaben'!F82</f>
        <v>0.25</v>
      </c>
      <c r="BF11" s="125" t="str">
        <f>'Variante Vorgaben'!$D$46</f>
        <v>Mostobst total</v>
      </c>
      <c r="BG11" s="116">
        <f>BH11/$B$5</f>
        <v>4</v>
      </c>
      <c r="BH11" s="117">
        <f>BH12*BK11</f>
        <v>8000</v>
      </c>
      <c r="BI11" s="602">
        <f>'Variante Vorgaben'!D55</f>
        <v>0</v>
      </c>
      <c r="BJ11" s="118">
        <f>BH11*BI11</f>
        <v>0</v>
      </c>
      <c r="BK11" s="87">
        <f>'Variante Vorgaben'!F83</f>
        <v>0.25</v>
      </c>
      <c r="BM11" s="125" t="str">
        <f>'Variante Vorgaben'!$D$46</f>
        <v>Mostobst total</v>
      </c>
      <c r="BN11" s="116">
        <f>BO11/$B$5</f>
        <v>4</v>
      </c>
      <c r="BO11" s="117">
        <f>BO12*BR11</f>
        <v>8000</v>
      </c>
      <c r="BP11" s="602">
        <f>'Variante Vorgaben'!D56</f>
        <v>0</v>
      </c>
      <c r="BQ11" s="118">
        <f>BO11*BP11</f>
        <v>0</v>
      </c>
      <c r="BR11" s="87">
        <f>'Variante Vorgaben'!F84</f>
        <v>0.25</v>
      </c>
      <c r="BT11" s="125" t="str">
        <f>'Variante Vorgaben'!$D$46</f>
        <v>Mostobst total</v>
      </c>
      <c r="BU11" s="116">
        <f>BV11/$B$5</f>
        <v>4</v>
      </c>
      <c r="BV11" s="117">
        <f>BV12*BY11</f>
        <v>8000</v>
      </c>
      <c r="BW11" s="602">
        <f>'Variante Vorgaben'!D57</f>
        <v>0</v>
      </c>
      <c r="BX11" s="118">
        <f>BV11*BW11</f>
        <v>0</v>
      </c>
      <c r="BY11" s="87">
        <f>'Variante Vorgaben'!F85</f>
        <v>0.25</v>
      </c>
      <c r="CA11" s="125" t="str">
        <f>'Variante Vorgaben'!$D$46</f>
        <v>Mostobst total</v>
      </c>
      <c r="CB11" s="116">
        <f>CC11/$B$5</f>
        <v>4</v>
      </c>
      <c r="CC11" s="117">
        <f>CC12*CF11</f>
        <v>8000</v>
      </c>
      <c r="CD11" s="602">
        <f>'Variante Vorgaben'!D58</f>
        <v>0</v>
      </c>
      <c r="CE11" s="118">
        <f>CC11*CD11</f>
        <v>0</v>
      </c>
      <c r="CF11" s="87">
        <f>'Variante Vorgaben'!F86</f>
        <v>0.25</v>
      </c>
      <c r="CH11" s="125" t="str">
        <f>'Variante Vorgaben'!$D$46</f>
        <v>Mostobst total</v>
      </c>
      <c r="CI11" s="116">
        <f>CJ11/$B$5</f>
        <v>4</v>
      </c>
      <c r="CJ11" s="117">
        <f>CJ12*CM11</f>
        <v>8000</v>
      </c>
      <c r="CK11" s="602">
        <f>'Variante Vorgaben'!D59</f>
        <v>0</v>
      </c>
      <c r="CL11" s="118">
        <f>CJ11*CK11</f>
        <v>0</v>
      </c>
      <c r="CM11" s="87">
        <f>'Variante Vorgaben'!F87</f>
        <v>0.25</v>
      </c>
      <c r="CO11" s="125" t="str">
        <f>'Variante Vorgaben'!$D$46</f>
        <v>Mostobst total</v>
      </c>
      <c r="CP11" s="116">
        <f>CQ11/$B$5</f>
        <v>4</v>
      </c>
      <c r="CQ11" s="117">
        <f>CQ12*CT11</f>
        <v>8000</v>
      </c>
      <c r="CR11" s="602">
        <f>'Variante Vorgaben'!D60</f>
        <v>0</v>
      </c>
      <c r="CS11" s="118">
        <f>CQ11*CR11</f>
        <v>0</v>
      </c>
      <c r="CT11" s="87">
        <f>'Variante Vorgaben'!F88</f>
        <v>0.25</v>
      </c>
      <c r="CV11" s="125" t="str">
        <f>'Variante Vorgaben'!$D$46</f>
        <v>Mostobst total</v>
      </c>
      <c r="CW11" s="116">
        <f>CX11/$B$5</f>
        <v>4</v>
      </c>
      <c r="CX11" s="117">
        <f>CX12*DA11</f>
        <v>8000</v>
      </c>
      <c r="CY11" s="602">
        <f>'Variante Vorgaben'!D61</f>
        <v>0</v>
      </c>
      <c r="CZ11" s="118">
        <f>CX11*CY11</f>
        <v>0</v>
      </c>
      <c r="DA11" s="87">
        <f>'Variante Vorgaben'!F89</f>
        <v>0.25</v>
      </c>
      <c r="DC11" s="125" t="str">
        <f>'Variante Vorgaben'!$D$46</f>
        <v>Mostobst total</v>
      </c>
      <c r="DD11" s="116">
        <f>DE11/$B$5</f>
        <v>4</v>
      </c>
      <c r="DE11" s="117">
        <f>DE12*DH11</f>
        <v>8000</v>
      </c>
      <c r="DF11" s="602">
        <f>'Variante Vorgaben'!D62</f>
        <v>0</v>
      </c>
      <c r="DG11" s="118">
        <f>DE11*DF11</f>
        <v>0</v>
      </c>
      <c r="DH11" s="87">
        <f>'Variante Vorgaben'!F90</f>
        <v>0.25</v>
      </c>
      <c r="DJ11" s="125" t="str">
        <f>'Variante Vorgaben'!$D$46</f>
        <v>Mostobst total</v>
      </c>
      <c r="DK11" s="116">
        <f>DL11/$B$5</f>
        <v>4</v>
      </c>
      <c r="DL11" s="117">
        <f>DL12*DO11</f>
        <v>8000</v>
      </c>
      <c r="DM11" s="602">
        <f>'Variante Vorgaben'!D63</f>
        <v>0</v>
      </c>
      <c r="DN11" s="118">
        <f>DL11*DM11</f>
        <v>0</v>
      </c>
      <c r="DO11" s="87">
        <f>'Variante Vorgaben'!F91</f>
        <v>0.25</v>
      </c>
      <c r="DQ11" s="125" t="str">
        <f>'Variante Vorgaben'!$D$46</f>
        <v>Mostobst total</v>
      </c>
      <c r="DR11" s="116">
        <f>DS11/$B$5</f>
        <v>4</v>
      </c>
      <c r="DS11" s="117">
        <f>DS12*DV11</f>
        <v>8000</v>
      </c>
      <c r="DT11" s="602">
        <f>'Variante Vorgaben'!D64</f>
        <v>0</v>
      </c>
      <c r="DU11" s="118">
        <f>DS11*DT11</f>
        <v>0</v>
      </c>
      <c r="DV11" s="87">
        <f>'Variante Vorgaben'!F92</f>
        <v>0.25</v>
      </c>
      <c r="DX11" s="125" t="str">
        <f>'Variante Vorgaben'!$D$46</f>
        <v>Mostobst total</v>
      </c>
      <c r="DY11" s="116">
        <f>DZ11/$B$5</f>
        <v>4</v>
      </c>
      <c r="DZ11" s="117">
        <f>DZ12*EC11</f>
        <v>8000</v>
      </c>
      <c r="EA11" s="602">
        <f>'Variante Vorgaben'!D65</f>
        <v>0</v>
      </c>
      <c r="EB11" s="118">
        <f>DZ11*EA11</f>
        <v>0</v>
      </c>
      <c r="EC11" s="87">
        <f>'Variante Vorgaben'!F93</f>
        <v>0.25</v>
      </c>
      <c r="EE11" s="125" t="str">
        <f>'Variante Vorgaben'!$D$46</f>
        <v>Mostobst total</v>
      </c>
      <c r="EF11" s="116">
        <f>EG11/$B$5</f>
        <v>4</v>
      </c>
      <c r="EG11" s="117">
        <f>EG12*EJ11</f>
        <v>8000</v>
      </c>
      <c r="EH11" s="602">
        <f>'Variante Vorgaben'!D66</f>
        <v>0</v>
      </c>
      <c r="EI11" s="118">
        <f>EG11*EH11</f>
        <v>0</v>
      </c>
      <c r="EJ11" s="87">
        <f>'Variante Vorgaben'!F94</f>
        <v>0.25</v>
      </c>
    </row>
    <row r="12" spans="1:187" s="52" customFormat="1" x14ac:dyDescent="0.2">
      <c r="B12" s="53"/>
      <c r="C12" s="84">
        <f>SUM(C9:C11)</f>
        <v>0</v>
      </c>
      <c r="D12" s="603">
        <f>'Variante Vorgaben'!E47</f>
        <v>0</v>
      </c>
      <c r="E12" s="86">
        <f>(E8*G8)+(E9*G9)+(E10*G10)</f>
        <v>0.874</v>
      </c>
      <c r="F12" s="119">
        <f>SUM(F8:F11)</f>
        <v>0</v>
      </c>
      <c r="G12" s="87">
        <f>SUM(G9:G11)</f>
        <v>1</v>
      </c>
      <c r="I12" s="53"/>
      <c r="J12" s="84">
        <f>SUM(J9:J11)</f>
        <v>1.5</v>
      </c>
      <c r="K12" s="603">
        <f>'Variante Vorgaben'!E48</f>
        <v>3000</v>
      </c>
      <c r="L12" s="86">
        <f>M12/K12</f>
        <v>0.874</v>
      </c>
      <c r="M12" s="119">
        <f>SUM(M8:M11)</f>
        <v>2622</v>
      </c>
      <c r="N12" s="87">
        <f>SUM(N9:N11)</f>
        <v>1</v>
      </c>
      <c r="P12" s="53"/>
      <c r="Q12" s="84">
        <f>SUM(Q9:Q11)</f>
        <v>2.5</v>
      </c>
      <c r="R12" s="603">
        <f>'Variante Vorgaben'!E49</f>
        <v>5000</v>
      </c>
      <c r="S12" s="86">
        <f>T12/R12</f>
        <v>0.874</v>
      </c>
      <c r="T12" s="119">
        <f>SUM(T8:T11)</f>
        <v>4370</v>
      </c>
      <c r="U12" s="87">
        <f>SUM(U9:U11)</f>
        <v>1</v>
      </c>
      <c r="W12" s="53"/>
      <c r="X12" s="84">
        <f>SUM(X9:X11)</f>
        <v>5</v>
      </c>
      <c r="Y12" s="603">
        <f>'Variante Vorgaben'!E50</f>
        <v>10000</v>
      </c>
      <c r="Z12" s="86">
        <f>AA12/Y12</f>
        <v>0.874</v>
      </c>
      <c r="AA12" s="119">
        <f>SUM(AA8:AA11)</f>
        <v>8740</v>
      </c>
      <c r="AB12" s="87">
        <f>SUM(AB9:AB11)</f>
        <v>1</v>
      </c>
      <c r="AD12" s="53"/>
      <c r="AE12" s="84">
        <f>SUM(AE9:AE11)</f>
        <v>10</v>
      </c>
      <c r="AF12" s="603">
        <f>'Variante Vorgaben'!E51</f>
        <v>20000</v>
      </c>
      <c r="AG12" s="86">
        <f>AH12/AF12</f>
        <v>0.874</v>
      </c>
      <c r="AH12" s="119">
        <f>SUM(AH8:AH11)</f>
        <v>17480</v>
      </c>
      <c r="AI12" s="87">
        <f>SUM(AI9:AI11)</f>
        <v>1</v>
      </c>
      <c r="AK12" s="53"/>
      <c r="AL12" s="84">
        <f>SUM(AL9:AL11)</f>
        <v>16</v>
      </c>
      <c r="AM12" s="603">
        <f>'Variante Vorgaben'!E52</f>
        <v>32000</v>
      </c>
      <c r="AN12" s="86">
        <f>AO12/AM12</f>
        <v>0.874</v>
      </c>
      <c r="AO12" s="119">
        <f>SUM(AO8:AO11)</f>
        <v>27968</v>
      </c>
      <c r="AP12" s="87">
        <f>SUM(AP9:AP11)</f>
        <v>1</v>
      </c>
      <c r="AR12" s="53"/>
      <c r="AS12" s="84">
        <f>SUM(AS9:AS11)</f>
        <v>16</v>
      </c>
      <c r="AT12" s="603">
        <f>'Variante Vorgaben'!E53</f>
        <v>32000</v>
      </c>
      <c r="AU12" s="86">
        <f>AV12/AT12</f>
        <v>0.874</v>
      </c>
      <c r="AV12" s="119">
        <f>SUM(AV8:AV11)</f>
        <v>27968</v>
      </c>
      <c r="AW12" s="87">
        <f>SUM(AW9:AW11)</f>
        <v>1</v>
      </c>
      <c r="AY12" s="53"/>
      <c r="AZ12" s="84">
        <f>SUM(AZ9:AZ11)</f>
        <v>16</v>
      </c>
      <c r="BA12" s="603">
        <f>'Variante Vorgaben'!E54</f>
        <v>32000</v>
      </c>
      <c r="BB12" s="86">
        <f>BC12/BA12</f>
        <v>0.874</v>
      </c>
      <c r="BC12" s="119">
        <f>SUM(BC8:BC11)</f>
        <v>27968</v>
      </c>
      <c r="BD12" s="87">
        <f>SUM(BD9:BD11)</f>
        <v>1</v>
      </c>
      <c r="BF12" s="53"/>
      <c r="BG12" s="84">
        <f>SUM(BG9:BG11)</f>
        <v>16</v>
      </c>
      <c r="BH12" s="603">
        <f>'Variante Vorgaben'!E55</f>
        <v>32000</v>
      </c>
      <c r="BI12" s="86">
        <f>BJ12/BH12</f>
        <v>0.874</v>
      </c>
      <c r="BJ12" s="119">
        <f>SUM(BJ8:BJ11)</f>
        <v>27968</v>
      </c>
      <c r="BK12" s="87">
        <f>SUM(BK9:BK11)</f>
        <v>1</v>
      </c>
      <c r="BM12" s="53"/>
      <c r="BN12" s="84">
        <f>SUM(BN9:BN11)</f>
        <v>16</v>
      </c>
      <c r="BO12" s="603">
        <f>'Variante Vorgaben'!E56</f>
        <v>32000</v>
      </c>
      <c r="BP12" s="86">
        <f>BQ12/BO12</f>
        <v>0.874</v>
      </c>
      <c r="BQ12" s="119">
        <f>SUM(BQ8:BQ11)</f>
        <v>27968</v>
      </c>
      <c r="BR12" s="87">
        <f>SUM(BR9:BR11)</f>
        <v>1</v>
      </c>
      <c r="BT12" s="53"/>
      <c r="BU12" s="84">
        <f>SUM(BU9:BU11)</f>
        <v>16</v>
      </c>
      <c r="BV12" s="603">
        <f>'Variante Vorgaben'!E57</f>
        <v>32000</v>
      </c>
      <c r="BW12" s="86">
        <f>BX12/BV12</f>
        <v>0.874</v>
      </c>
      <c r="BX12" s="119">
        <f>SUM(BX8:BX11)</f>
        <v>27968</v>
      </c>
      <c r="BY12" s="87">
        <f>SUM(BY9:BY11)</f>
        <v>1</v>
      </c>
      <c r="CA12" s="53"/>
      <c r="CB12" s="84">
        <f>SUM(CB9:CB11)</f>
        <v>16</v>
      </c>
      <c r="CC12" s="603">
        <f>'Variante Vorgaben'!E58</f>
        <v>32000</v>
      </c>
      <c r="CD12" s="86">
        <f>CE12/CC12</f>
        <v>0.874</v>
      </c>
      <c r="CE12" s="119">
        <f>SUM(CE8:CE11)</f>
        <v>27968</v>
      </c>
      <c r="CF12" s="87">
        <f>SUM(CF9:CF11)</f>
        <v>1</v>
      </c>
      <c r="CH12" s="53"/>
      <c r="CI12" s="84">
        <f>SUM(CI9:CI11)</f>
        <v>16</v>
      </c>
      <c r="CJ12" s="603">
        <f>'Variante Vorgaben'!E59</f>
        <v>32000</v>
      </c>
      <c r="CK12" s="86">
        <f>CL12/CJ12</f>
        <v>0.874</v>
      </c>
      <c r="CL12" s="119">
        <f>SUM(CL8:CL11)</f>
        <v>27968</v>
      </c>
      <c r="CM12" s="87">
        <f>SUM(CM9:CM11)</f>
        <v>1</v>
      </c>
      <c r="CO12" s="53"/>
      <c r="CP12" s="84">
        <f>SUM(CP9:CP11)</f>
        <v>16</v>
      </c>
      <c r="CQ12" s="603">
        <f>'Variante Vorgaben'!E60</f>
        <v>32000</v>
      </c>
      <c r="CR12" s="86">
        <f>CS12/CQ12</f>
        <v>0.874</v>
      </c>
      <c r="CS12" s="119">
        <f>SUM(CS8:CS11)</f>
        <v>27968</v>
      </c>
      <c r="CT12" s="87">
        <f>SUM(CT9:CT11)</f>
        <v>1</v>
      </c>
      <c r="CV12" s="53"/>
      <c r="CW12" s="84">
        <f>SUM(CW9:CW11)</f>
        <v>16</v>
      </c>
      <c r="CX12" s="603">
        <f>'Variante Vorgaben'!E61</f>
        <v>32000</v>
      </c>
      <c r="CY12" s="86">
        <f>CZ12/CX12</f>
        <v>0.874</v>
      </c>
      <c r="CZ12" s="119">
        <f>SUM(CZ8:CZ11)</f>
        <v>27968</v>
      </c>
      <c r="DA12" s="87">
        <f>SUM(DA9:DA11)</f>
        <v>1</v>
      </c>
      <c r="DC12" s="53"/>
      <c r="DD12" s="84">
        <f>SUM(DD9:DD11)</f>
        <v>16</v>
      </c>
      <c r="DE12" s="603">
        <f>'Variante Vorgaben'!E62</f>
        <v>32000</v>
      </c>
      <c r="DF12" s="86">
        <f>DG12/DE12</f>
        <v>0.874</v>
      </c>
      <c r="DG12" s="119">
        <f>SUM(DG8:DG11)</f>
        <v>27968</v>
      </c>
      <c r="DH12" s="87">
        <f>SUM(DH9:DH11)</f>
        <v>1</v>
      </c>
      <c r="DJ12" s="53"/>
      <c r="DK12" s="84">
        <f>SUM(DK9:DK11)</f>
        <v>16</v>
      </c>
      <c r="DL12" s="603">
        <f>'Variante Vorgaben'!E63</f>
        <v>32000</v>
      </c>
      <c r="DM12" s="86">
        <f>DN12/DL12</f>
        <v>0.874</v>
      </c>
      <c r="DN12" s="119">
        <f>SUM(DN8:DN11)</f>
        <v>27968</v>
      </c>
      <c r="DO12" s="87">
        <f>SUM(DO9:DO11)</f>
        <v>1</v>
      </c>
      <c r="DQ12" s="53"/>
      <c r="DR12" s="84">
        <f>SUM(DR9:DR11)</f>
        <v>16</v>
      </c>
      <c r="DS12" s="603">
        <f>'Variante Vorgaben'!E64</f>
        <v>32000</v>
      </c>
      <c r="DT12" s="86">
        <f>DU12/DS12</f>
        <v>0.874</v>
      </c>
      <c r="DU12" s="119">
        <f>SUM(DU8:DU11)</f>
        <v>27968</v>
      </c>
      <c r="DV12" s="87">
        <f>SUM(DV9:DV11)</f>
        <v>1</v>
      </c>
      <c r="DX12" s="53"/>
      <c r="DY12" s="84">
        <f>SUM(DY9:DY11)</f>
        <v>16</v>
      </c>
      <c r="DZ12" s="603">
        <f>'Variante Vorgaben'!E65</f>
        <v>32000</v>
      </c>
      <c r="EA12" s="86">
        <f>EB12/DZ12</f>
        <v>0.874</v>
      </c>
      <c r="EB12" s="119">
        <f>SUM(EB8:EB11)</f>
        <v>27968</v>
      </c>
      <c r="EC12" s="87">
        <f>SUM(EC9:EC11)</f>
        <v>1</v>
      </c>
      <c r="EE12" s="53"/>
      <c r="EF12" s="84">
        <f>SUM(EF9:EF11)</f>
        <v>16</v>
      </c>
      <c r="EG12" s="603">
        <f>'Variante Vorgaben'!E66</f>
        <v>32000</v>
      </c>
      <c r="EH12" s="86">
        <f>EI12/EG12</f>
        <v>0.874</v>
      </c>
      <c r="EI12" s="119">
        <f>SUM(EI8:EI11)</f>
        <v>27968</v>
      </c>
      <c r="EJ12" s="87">
        <f>SUM(EJ9:EJ11)</f>
        <v>1</v>
      </c>
    </row>
    <row r="13" spans="1:187" s="125" customFormat="1" x14ac:dyDescent="0.2">
      <c r="B13" s="125" t="str">
        <f>'Variante Vorgaben'!$A$40</f>
        <v>Direktzahlungen ÖLN</v>
      </c>
      <c r="C13" s="920"/>
      <c r="D13" s="921"/>
      <c r="E13" s="922"/>
      <c r="F13" s="228">
        <f>'Variante Vorgaben'!$C$40</f>
        <v>1100</v>
      </c>
      <c r="G13" s="859"/>
      <c r="I13" s="125" t="str">
        <f>'Variante Vorgaben'!$A$40</f>
        <v>Direktzahlungen ÖLN</v>
      </c>
      <c r="J13" s="920"/>
      <c r="K13" s="921"/>
      <c r="L13" s="922"/>
      <c r="M13" s="228">
        <f>'Variante Vorgaben'!$C$40</f>
        <v>1100</v>
      </c>
      <c r="N13" s="859"/>
      <c r="P13" s="125" t="str">
        <f>'Variante Vorgaben'!$A$40</f>
        <v>Direktzahlungen ÖLN</v>
      </c>
      <c r="Q13" s="920"/>
      <c r="R13" s="921"/>
      <c r="S13" s="922"/>
      <c r="T13" s="228">
        <f>'Variante Vorgaben'!$C$40</f>
        <v>1100</v>
      </c>
      <c r="U13" s="859"/>
      <c r="W13" s="125" t="str">
        <f>'Variante Vorgaben'!$A$40</f>
        <v>Direktzahlungen ÖLN</v>
      </c>
      <c r="X13" s="920"/>
      <c r="Y13" s="921"/>
      <c r="Z13" s="922"/>
      <c r="AA13" s="228">
        <f>'Variante Vorgaben'!$C$40</f>
        <v>1100</v>
      </c>
      <c r="AB13" s="859"/>
      <c r="AD13" s="125" t="str">
        <f>'Variante Vorgaben'!$A$40</f>
        <v>Direktzahlungen ÖLN</v>
      </c>
      <c r="AE13" s="920"/>
      <c r="AF13" s="921"/>
      <c r="AG13" s="922"/>
      <c r="AH13" s="228">
        <f>'Variante Vorgaben'!$C$40</f>
        <v>1100</v>
      </c>
      <c r="AI13" s="859"/>
      <c r="AK13" s="125" t="str">
        <f>'Variante Vorgaben'!$A$40</f>
        <v>Direktzahlungen ÖLN</v>
      </c>
      <c r="AL13" s="920"/>
      <c r="AM13" s="921"/>
      <c r="AN13" s="922"/>
      <c r="AO13" s="228">
        <f>'Variante Vorgaben'!$C$40</f>
        <v>1100</v>
      </c>
      <c r="AP13" s="859"/>
      <c r="AR13" s="125" t="str">
        <f>'Variante Vorgaben'!$A$40</f>
        <v>Direktzahlungen ÖLN</v>
      </c>
      <c r="AS13" s="920"/>
      <c r="AT13" s="921"/>
      <c r="AU13" s="922"/>
      <c r="AV13" s="228">
        <f>'Variante Vorgaben'!$C$40</f>
        <v>1100</v>
      </c>
      <c r="AW13" s="859"/>
      <c r="AY13" s="125" t="str">
        <f>'Variante Vorgaben'!$A$40</f>
        <v>Direktzahlungen ÖLN</v>
      </c>
      <c r="AZ13" s="920"/>
      <c r="BA13" s="921"/>
      <c r="BB13" s="922"/>
      <c r="BC13" s="228">
        <f>'Variante Vorgaben'!$C$40</f>
        <v>1100</v>
      </c>
      <c r="BD13" s="859"/>
      <c r="BF13" s="125" t="str">
        <f>'Variante Vorgaben'!$A$40</f>
        <v>Direktzahlungen ÖLN</v>
      </c>
      <c r="BG13" s="920"/>
      <c r="BH13" s="921"/>
      <c r="BI13" s="922"/>
      <c r="BJ13" s="228">
        <f>'Variante Vorgaben'!$C$40</f>
        <v>1100</v>
      </c>
      <c r="BK13" s="859"/>
      <c r="BM13" s="125" t="str">
        <f>'Variante Vorgaben'!$A$40</f>
        <v>Direktzahlungen ÖLN</v>
      </c>
      <c r="BN13" s="920"/>
      <c r="BO13" s="921"/>
      <c r="BP13" s="922"/>
      <c r="BQ13" s="228">
        <f>'Variante Vorgaben'!$C$40</f>
        <v>1100</v>
      </c>
      <c r="BR13" s="859"/>
      <c r="BT13" s="125" t="str">
        <f>'Variante Vorgaben'!$A$40</f>
        <v>Direktzahlungen ÖLN</v>
      </c>
      <c r="BU13" s="920"/>
      <c r="BV13" s="921"/>
      <c r="BW13" s="922"/>
      <c r="BX13" s="228">
        <f>'Variante Vorgaben'!$C$40</f>
        <v>1100</v>
      </c>
      <c r="BY13" s="859"/>
      <c r="CA13" s="125" t="str">
        <f>'Variante Vorgaben'!$A$40</f>
        <v>Direktzahlungen ÖLN</v>
      </c>
      <c r="CB13" s="920"/>
      <c r="CC13" s="921"/>
      <c r="CD13" s="922"/>
      <c r="CE13" s="228">
        <f>'Variante Vorgaben'!$C$40</f>
        <v>1100</v>
      </c>
      <c r="CF13" s="859"/>
      <c r="CH13" s="125" t="str">
        <f>'Variante Vorgaben'!$A$40</f>
        <v>Direktzahlungen ÖLN</v>
      </c>
      <c r="CI13" s="920"/>
      <c r="CJ13" s="921"/>
      <c r="CK13" s="922"/>
      <c r="CL13" s="228">
        <f>'Variante Vorgaben'!$C$40</f>
        <v>1100</v>
      </c>
      <c r="CM13" s="859"/>
      <c r="CO13" s="125" t="str">
        <f>'Variante Vorgaben'!$A$40</f>
        <v>Direktzahlungen ÖLN</v>
      </c>
      <c r="CP13" s="920"/>
      <c r="CQ13" s="921"/>
      <c r="CR13" s="922"/>
      <c r="CS13" s="228">
        <f>'Variante Vorgaben'!$C$40</f>
        <v>1100</v>
      </c>
      <c r="CT13" s="859"/>
      <c r="CV13" s="125" t="str">
        <f>'Variante Vorgaben'!$A$40</f>
        <v>Direktzahlungen ÖLN</v>
      </c>
      <c r="CW13" s="920"/>
      <c r="CX13" s="921"/>
      <c r="CZ13" s="228">
        <f>'Variante Vorgaben'!$C$40</f>
        <v>1100</v>
      </c>
      <c r="DA13" s="613"/>
      <c r="DC13" s="125" t="str">
        <f>'Variante Vorgaben'!$A$40</f>
        <v>Direktzahlungen ÖLN</v>
      </c>
      <c r="DD13" s="920"/>
      <c r="DE13" s="921"/>
      <c r="DG13" s="228">
        <f>'Variante Vorgaben'!$C$40</f>
        <v>1100</v>
      </c>
      <c r="DH13" s="613"/>
      <c r="DJ13" s="125" t="str">
        <f>'Variante Vorgaben'!$A$40</f>
        <v>Direktzahlungen ÖLN</v>
      </c>
      <c r="DK13" s="920"/>
      <c r="DL13" s="921"/>
      <c r="DN13" s="228">
        <f>'Variante Vorgaben'!$C$40</f>
        <v>1100</v>
      </c>
      <c r="DO13" s="613"/>
      <c r="DQ13" s="125" t="str">
        <f>'Variante Vorgaben'!$A$40</f>
        <v>Direktzahlungen ÖLN</v>
      </c>
      <c r="DR13" s="920"/>
      <c r="DS13" s="921"/>
      <c r="DU13" s="228">
        <f>'Variante Vorgaben'!$C$40</f>
        <v>1100</v>
      </c>
      <c r="DV13" s="613"/>
      <c r="DX13" s="125" t="str">
        <f>'Variante Vorgaben'!$A$40</f>
        <v>Direktzahlungen ÖLN</v>
      </c>
      <c r="DY13" s="920"/>
      <c r="DZ13" s="921"/>
      <c r="EB13" s="228">
        <f>'Variante Vorgaben'!$C$40</f>
        <v>1100</v>
      </c>
      <c r="EC13" s="613"/>
      <c r="EE13" s="125" t="str">
        <f>'Variante Vorgaben'!$A$40</f>
        <v>Direktzahlungen ÖLN</v>
      </c>
      <c r="EF13" s="920"/>
      <c r="EG13" s="921"/>
      <c r="EI13" s="228">
        <f>'Variante Vorgaben'!$C$40</f>
        <v>1100</v>
      </c>
      <c r="EJ13" s="613"/>
    </row>
    <row r="14" spans="1:187" s="1043" customFormat="1" ht="23.25" customHeight="1" thickBot="1" x14ac:dyDescent="0.3">
      <c r="A14" s="1038" t="s">
        <v>257</v>
      </c>
      <c r="B14" s="1039"/>
      <c r="C14" s="1039"/>
      <c r="D14" s="1039"/>
      <c r="E14" s="1039"/>
      <c r="F14" s="1040">
        <f>SUM(F12:F13)</f>
        <v>1100</v>
      </c>
      <c r="G14" s="1041"/>
      <c r="H14" s="1038" t="s">
        <v>257</v>
      </c>
      <c r="I14" s="1039"/>
      <c r="J14" s="1039"/>
      <c r="K14" s="1039"/>
      <c r="L14" s="1039"/>
      <c r="M14" s="1040">
        <f>SUM(M12:M13)</f>
        <v>3722</v>
      </c>
      <c r="N14" s="1041"/>
      <c r="O14" s="1038" t="s">
        <v>257</v>
      </c>
      <c r="P14" s="1039"/>
      <c r="Q14" s="1039"/>
      <c r="R14" s="1039"/>
      <c r="S14" s="1039"/>
      <c r="T14" s="1040">
        <f>SUM(T12:T13)</f>
        <v>5470</v>
      </c>
      <c r="U14" s="1041"/>
      <c r="V14" s="1038" t="s">
        <v>257</v>
      </c>
      <c r="W14" s="1039"/>
      <c r="X14" s="1039"/>
      <c r="Y14" s="1039"/>
      <c r="Z14" s="1039"/>
      <c r="AA14" s="1040">
        <f>SUM(AA12:AA13)</f>
        <v>9840</v>
      </c>
      <c r="AB14" s="1041"/>
      <c r="AC14" s="1038" t="s">
        <v>257</v>
      </c>
      <c r="AD14" s="1039"/>
      <c r="AE14" s="1039"/>
      <c r="AF14" s="1039"/>
      <c r="AG14" s="1039"/>
      <c r="AH14" s="1040">
        <f>SUM(AH12:AH13)</f>
        <v>18580</v>
      </c>
      <c r="AI14" s="1041"/>
      <c r="AJ14" s="1038" t="s">
        <v>257</v>
      </c>
      <c r="AK14" s="1039"/>
      <c r="AL14" s="1039"/>
      <c r="AM14" s="1039"/>
      <c r="AN14" s="1039"/>
      <c r="AO14" s="1040">
        <f>SUM(AO12:AO13)</f>
        <v>29068</v>
      </c>
      <c r="AP14" s="1041"/>
      <c r="AQ14" s="1038" t="s">
        <v>257</v>
      </c>
      <c r="AR14" s="1039"/>
      <c r="AS14" s="1039"/>
      <c r="AT14" s="1039"/>
      <c r="AU14" s="1039"/>
      <c r="AV14" s="1040">
        <f>SUM(AV12:AV13)</f>
        <v>29068</v>
      </c>
      <c r="AW14" s="1041"/>
      <c r="AX14" s="1038" t="s">
        <v>257</v>
      </c>
      <c r="AY14" s="1039"/>
      <c r="AZ14" s="1039"/>
      <c r="BA14" s="1039"/>
      <c r="BB14" s="1039"/>
      <c r="BC14" s="1040">
        <f>SUM(BC12:BC13)</f>
        <v>29068</v>
      </c>
      <c r="BD14" s="1041"/>
      <c r="BE14" s="1038" t="s">
        <v>257</v>
      </c>
      <c r="BF14" s="1039"/>
      <c r="BG14" s="1039"/>
      <c r="BH14" s="1039"/>
      <c r="BI14" s="1039"/>
      <c r="BJ14" s="1040">
        <f>SUM(BJ12:BJ13)</f>
        <v>29068</v>
      </c>
      <c r="BK14" s="1041"/>
      <c r="BL14" s="1038" t="s">
        <v>257</v>
      </c>
      <c r="BM14" s="1039"/>
      <c r="BN14" s="1039"/>
      <c r="BO14" s="1039"/>
      <c r="BP14" s="1039"/>
      <c r="BQ14" s="1040">
        <f>SUM(BQ12:BQ13)</f>
        <v>29068</v>
      </c>
      <c r="BR14" s="1041"/>
      <c r="BS14" s="1038" t="s">
        <v>257</v>
      </c>
      <c r="BT14" s="1039"/>
      <c r="BU14" s="1039"/>
      <c r="BV14" s="1039"/>
      <c r="BW14" s="1039"/>
      <c r="BX14" s="1040">
        <f>SUM(BX12:BX13)</f>
        <v>29068</v>
      </c>
      <c r="BY14" s="1041"/>
      <c r="BZ14" s="1038" t="s">
        <v>257</v>
      </c>
      <c r="CA14" s="1039"/>
      <c r="CB14" s="1039"/>
      <c r="CC14" s="1039"/>
      <c r="CD14" s="1039"/>
      <c r="CE14" s="1040">
        <f>SUM(CE12:CE13)</f>
        <v>29068</v>
      </c>
      <c r="CF14" s="1041"/>
      <c r="CG14" s="1038" t="s">
        <v>257</v>
      </c>
      <c r="CH14" s="1039"/>
      <c r="CI14" s="1039"/>
      <c r="CJ14" s="1039"/>
      <c r="CK14" s="1039"/>
      <c r="CL14" s="1040">
        <f>SUM(CL12:CL13)</f>
        <v>29068</v>
      </c>
      <c r="CM14" s="1041"/>
      <c r="CN14" s="1038" t="s">
        <v>257</v>
      </c>
      <c r="CO14" s="1039"/>
      <c r="CP14" s="1039"/>
      <c r="CQ14" s="1039"/>
      <c r="CR14" s="1039"/>
      <c r="CS14" s="1040">
        <f>SUM(CS12:CS13)</f>
        <v>29068</v>
      </c>
      <c r="CT14" s="1041"/>
      <c r="CU14" s="1038" t="s">
        <v>257</v>
      </c>
      <c r="CV14" s="1039"/>
      <c r="CW14" s="1039"/>
      <c r="CX14" s="1039"/>
      <c r="CY14" s="1039"/>
      <c r="CZ14" s="1040">
        <f>SUM(CZ12:CZ13)</f>
        <v>29068</v>
      </c>
      <c r="DA14" s="1042"/>
      <c r="DB14" s="1038" t="s">
        <v>257</v>
      </c>
      <c r="DC14" s="1039"/>
      <c r="DD14" s="1039"/>
      <c r="DE14" s="1039"/>
      <c r="DF14" s="1039"/>
      <c r="DG14" s="1040">
        <f>SUM(DG12:DG13)</f>
        <v>29068</v>
      </c>
      <c r="DH14" s="1042"/>
      <c r="DI14" s="1038" t="s">
        <v>257</v>
      </c>
      <c r="DJ14" s="1039"/>
      <c r="DK14" s="1039"/>
      <c r="DL14" s="1039"/>
      <c r="DM14" s="1039"/>
      <c r="DN14" s="1040">
        <f>SUM(DN12:DN13)</f>
        <v>29068</v>
      </c>
      <c r="DO14" s="1042"/>
      <c r="DP14" s="1038" t="s">
        <v>257</v>
      </c>
      <c r="DQ14" s="1039"/>
      <c r="DR14" s="1039"/>
      <c r="DS14" s="1039"/>
      <c r="DT14" s="1039"/>
      <c r="DU14" s="1040">
        <f>SUM(DU12:DU13)</f>
        <v>29068</v>
      </c>
      <c r="DV14" s="1042"/>
      <c r="DW14" s="1038" t="s">
        <v>257</v>
      </c>
      <c r="DX14" s="1039"/>
      <c r="DY14" s="1039"/>
      <c r="DZ14" s="1039"/>
      <c r="EA14" s="1039"/>
      <c r="EB14" s="1040">
        <f>SUM(EB12:EB13)</f>
        <v>29068</v>
      </c>
      <c r="EC14" s="1042"/>
      <c r="ED14" s="1038" t="s">
        <v>257</v>
      </c>
      <c r="EE14" s="1039"/>
      <c r="EF14" s="1039"/>
      <c r="EG14" s="1039"/>
      <c r="EH14" s="1039"/>
      <c r="EI14" s="1040">
        <f>SUM(EI12:EI13)</f>
        <v>29068</v>
      </c>
      <c r="EJ14" s="1042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  <c r="FG14" s="37"/>
      <c r="FH14" s="37"/>
      <c r="FI14" s="37"/>
      <c r="FJ14" s="37"/>
      <c r="FK14" s="37"/>
      <c r="FL14" s="37"/>
      <c r="FM14" s="37"/>
      <c r="FN14" s="37"/>
      <c r="FO14" s="37"/>
      <c r="FP14" s="37"/>
      <c r="FQ14" s="37"/>
      <c r="FR14" s="37"/>
      <c r="FS14" s="37"/>
      <c r="FT14" s="37"/>
      <c r="FU14" s="37"/>
      <c r="FV14" s="37"/>
      <c r="FW14" s="37"/>
      <c r="FX14" s="37"/>
      <c r="FY14" s="37"/>
      <c r="FZ14" s="37"/>
      <c r="GA14" s="37"/>
      <c r="GB14" s="37"/>
      <c r="GC14" s="37"/>
      <c r="GD14" s="37"/>
      <c r="GE14" s="37"/>
    </row>
    <row r="15" spans="1:187" s="19" customFormat="1" x14ac:dyDescent="0.2">
      <c r="A15" s="4"/>
      <c r="B15" s="4"/>
      <c r="C15" s="33" t="s">
        <v>11</v>
      </c>
      <c r="D15" s="33" t="s">
        <v>55</v>
      </c>
      <c r="E15" s="34" t="s">
        <v>56</v>
      </c>
      <c r="F15" s="41" t="s">
        <v>13</v>
      </c>
      <c r="G15" s="36" t="s">
        <v>58</v>
      </c>
      <c r="H15" s="4"/>
      <c r="I15" s="4"/>
      <c r="J15" s="33" t="s">
        <v>11</v>
      </c>
      <c r="K15" s="33" t="s">
        <v>55</v>
      </c>
      <c r="L15" s="34" t="s">
        <v>56</v>
      </c>
      <c r="M15" s="41" t="s">
        <v>13</v>
      </c>
      <c r="N15" s="36" t="s">
        <v>58</v>
      </c>
      <c r="O15" s="4"/>
      <c r="P15" s="4"/>
      <c r="Q15" s="33" t="s">
        <v>11</v>
      </c>
      <c r="R15" s="33" t="s">
        <v>55</v>
      </c>
      <c r="S15" s="34" t="s">
        <v>56</v>
      </c>
      <c r="T15" s="41" t="s">
        <v>13</v>
      </c>
      <c r="U15" s="36" t="s">
        <v>58</v>
      </c>
      <c r="V15" s="4"/>
      <c r="W15" s="4"/>
      <c r="X15" s="33" t="s">
        <v>11</v>
      </c>
      <c r="Y15" s="33" t="s">
        <v>55</v>
      </c>
      <c r="Z15" s="34" t="s">
        <v>56</v>
      </c>
      <c r="AA15" s="41" t="s">
        <v>13</v>
      </c>
      <c r="AB15" s="36" t="s">
        <v>58</v>
      </c>
      <c r="AC15" s="4"/>
      <c r="AD15" s="4"/>
      <c r="AE15" s="33" t="s">
        <v>11</v>
      </c>
      <c r="AF15" s="33" t="s">
        <v>55</v>
      </c>
      <c r="AG15" s="34" t="s">
        <v>56</v>
      </c>
      <c r="AH15" s="41" t="s">
        <v>13</v>
      </c>
      <c r="AI15" s="36" t="s">
        <v>58</v>
      </c>
      <c r="AJ15" s="4"/>
      <c r="AK15" s="4"/>
      <c r="AL15" s="33" t="s">
        <v>11</v>
      </c>
      <c r="AM15" s="33" t="s">
        <v>55</v>
      </c>
      <c r="AN15" s="34" t="s">
        <v>56</v>
      </c>
      <c r="AO15" s="41" t="s">
        <v>13</v>
      </c>
      <c r="AP15" s="36" t="s">
        <v>58</v>
      </c>
      <c r="AQ15" s="4"/>
      <c r="AR15" s="4"/>
      <c r="AS15" s="33" t="s">
        <v>11</v>
      </c>
      <c r="AT15" s="33" t="s">
        <v>55</v>
      </c>
      <c r="AU15" s="34" t="s">
        <v>56</v>
      </c>
      <c r="AV15" s="41" t="s">
        <v>13</v>
      </c>
      <c r="AW15" s="36" t="s">
        <v>58</v>
      </c>
      <c r="AX15" s="4"/>
      <c r="AY15" s="4"/>
      <c r="AZ15" s="33" t="s">
        <v>11</v>
      </c>
      <c r="BA15" s="33" t="s">
        <v>55</v>
      </c>
      <c r="BB15" s="34" t="s">
        <v>56</v>
      </c>
      <c r="BC15" s="41" t="s">
        <v>13</v>
      </c>
      <c r="BD15" s="36" t="s">
        <v>58</v>
      </c>
      <c r="BE15" s="4"/>
      <c r="BF15" s="4"/>
      <c r="BG15" s="33" t="s">
        <v>11</v>
      </c>
      <c r="BH15" s="33" t="s">
        <v>55</v>
      </c>
      <c r="BI15" s="34" t="s">
        <v>56</v>
      </c>
      <c r="BJ15" s="41" t="s">
        <v>13</v>
      </c>
      <c r="BK15" s="36" t="s">
        <v>58</v>
      </c>
      <c r="BL15" s="4"/>
      <c r="BM15" s="4"/>
      <c r="BN15" s="33" t="s">
        <v>11</v>
      </c>
      <c r="BO15" s="33" t="s">
        <v>55</v>
      </c>
      <c r="BP15" s="34" t="s">
        <v>56</v>
      </c>
      <c r="BQ15" s="41" t="s">
        <v>13</v>
      </c>
      <c r="BR15" s="36" t="s">
        <v>58</v>
      </c>
      <c r="BS15" s="4"/>
      <c r="BT15" s="4"/>
      <c r="BU15" s="33" t="s">
        <v>11</v>
      </c>
      <c r="BV15" s="33" t="s">
        <v>55</v>
      </c>
      <c r="BW15" s="34" t="s">
        <v>56</v>
      </c>
      <c r="BX15" s="41" t="s">
        <v>13</v>
      </c>
      <c r="BY15" s="36" t="s">
        <v>58</v>
      </c>
      <c r="BZ15" s="4"/>
      <c r="CA15" s="4"/>
      <c r="CB15" s="33" t="s">
        <v>11</v>
      </c>
      <c r="CC15" s="33" t="s">
        <v>55</v>
      </c>
      <c r="CD15" s="34" t="s">
        <v>56</v>
      </c>
      <c r="CE15" s="41" t="s">
        <v>13</v>
      </c>
      <c r="CF15" s="36" t="s">
        <v>58</v>
      </c>
      <c r="CG15" s="4"/>
      <c r="CH15" s="4"/>
      <c r="CI15" s="33" t="s">
        <v>11</v>
      </c>
      <c r="CJ15" s="33" t="s">
        <v>55</v>
      </c>
      <c r="CK15" s="34" t="s">
        <v>56</v>
      </c>
      <c r="CL15" s="41" t="s">
        <v>13</v>
      </c>
      <c r="CM15" s="36" t="s">
        <v>58</v>
      </c>
      <c r="CN15" s="4"/>
      <c r="CO15" s="4"/>
      <c r="CP15" s="33" t="s">
        <v>11</v>
      </c>
      <c r="CQ15" s="33" t="s">
        <v>55</v>
      </c>
      <c r="CR15" s="34" t="s">
        <v>56</v>
      </c>
      <c r="CS15" s="41" t="s">
        <v>13</v>
      </c>
      <c r="CT15" s="36" t="s">
        <v>58</v>
      </c>
      <c r="CU15" s="4"/>
      <c r="CV15" s="4"/>
      <c r="CW15" s="33" t="s">
        <v>11</v>
      </c>
      <c r="CX15" s="33" t="s">
        <v>55</v>
      </c>
      <c r="CY15" s="34" t="s">
        <v>56</v>
      </c>
      <c r="CZ15" s="41" t="s">
        <v>13</v>
      </c>
      <c r="DA15" s="36" t="s">
        <v>58</v>
      </c>
      <c r="DB15" s="4"/>
      <c r="DC15" s="4"/>
      <c r="DD15" s="33" t="s">
        <v>11</v>
      </c>
      <c r="DE15" s="33" t="s">
        <v>55</v>
      </c>
      <c r="DF15" s="34" t="s">
        <v>56</v>
      </c>
      <c r="DG15" s="41" t="s">
        <v>13</v>
      </c>
      <c r="DH15" s="36" t="s">
        <v>58</v>
      </c>
      <c r="DI15" s="4"/>
      <c r="DJ15" s="4"/>
      <c r="DK15" s="33" t="s">
        <v>11</v>
      </c>
      <c r="DL15" s="33" t="s">
        <v>55</v>
      </c>
      <c r="DM15" s="34" t="s">
        <v>56</v>
      </c>
      <c r="DN15" s="41" t="s">
        <v>13</v>
      </c>
      <c r="DO15" s="36" t="s">
        <v>58</v>
      </c>
      <c r="DP15" s="4"/>
      <c r="DQ15" s="4"/>
      <c r="DR15" s="33" t="s">
        <v>11</v>
      </c>
      <c r="DS15" s="33" t="s">
        <v>55</v>
      </c>
      <c r="DT15" s="34" t="s">
        <v>56</v>
      </c>
      <c r="DU15" s="41" t="s">
        <v>13</v>
      </c>
      <c r="DV15" s="36" t="s">
        <v>58</v>
      </c>
      <c r="DW15" s="4"/>
      <c r="DX15" s="4"/>
      <c r="DY15" s="33" t="s">
        <v>11</v>
      </c>
      <c r="DZ15" s="33" t="s">
        <v>55</v>
      </c>
      <c r="EA15" s="34" t="s">
        <v>56</v>
      </c>
      <c r="EB15" s="41" t="s">
        <v>13</v>
      </c>
      <c r="EC15" s="36" t="s">
        <v>58</v>
      </c>
      <c r="ED15" s="4"/>
      <c r="EE15" s="4"/>
      <c r="EF15" s="33" t="s">
        <v>11</v>
      </c>
      <c r="EG15" s="33" t="s">
        <v>55</v>
      </c>
      <c r="EH15" s="34" t="s">
        <v>56</v>
      </c>
      <c r="EI15" s="41" t="s">
        <v>13</v>
      </c>
      <c r="EJ15" s="36" t="s">
        <v>58</v>
      </c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  <c r="FG15" s="37"/>
      <c r="FH15" s="37"/>
      <c r="FI15" s="37"/>
      <c r="FJ15" s="37"/>
      <c r="FK15" s="37"/>
      <c r="FL15" s="37"/>
      <c r="FM15" s="37"/>
      <c r="FN15" s="37"/>
      <c r="FO15" s="37"/>
      <c r="FP15" s="37"/>
      <c r="FQ15" s="37"/>
      <c r="FR15" s="37"/>
      <c r="FS15" s="37"/>
      <c r="FT15" s="37"/>
      <c r="FU15" s="37"/>
      <c r="FV15" s="37"/>
      <c r="FW15" s="37"/>
      <c r="FX15" s="37"/>
      <c r="FY15" s="37"/>
      <c r="FZ15" s="37"/>
      <c r="GA15" s="37"/>
      <c r="GB15" s="37"/>
      <c r="GC15" s="37"/>
      <c r="GD15" s="37"/>
      <c r="GE15" s="37"/>
    </row>
    <row r="16" spans="1:187" s="1" customFormat="1" x14ac:dyDescent="0.2">
      <c r="A16" s="3" t="s">
        <v>29</v>
      </c>
      <c r="B16" s="4" t="str">
        <f>'Variante Vorgaben'!$B$109</f>
        <v>Stickstoff</v>
      </c>
      <c r="C16" s="850">
        <f>'Variante Vorgaben'!B115</f>
        <v>0</v>
      </c>
      <c r="D16" s="181">
        <f>'Variante Vorgaben'!B114</f>
        <v>50</v>
      </c>
      <c r="E16" s="62">
        <f>'Variante Vorgaben'!B110</f>
        <v>0.95</v>
      </c>
      <c r="F16" s="43">
        <f>D16*E16*(1+Eingabeseite!$C$27)</f>
        <v>47.5</v>
      </c>
      <c r="G16" s="271">
        <f>F16/$F$67</f>
        <v>4.6780182038356462E-3</v>
      </c>
      <c r="H16" s="3" t="s">
        <v>29</v>
      </c>
      <c r="I16" s="4" t="str">
        <f>'Variante Vorgaben'!$B$109</f>
        <v>Stickstoff</v>
      </c>
      <c r="J16" s="501">
        <f>'Variante Vorgaben'!B117</f>
        <v>1</v>
      </c>
      <c r="K16" s="181">
        <f>'Variante Vorgaben'!B116</f>
        <v>100</v>
      </c>
      <c r="L16" s="62">
        <f>'Variante Vorgaben'!B110</f>
        <v>0.95</v>
      </c>
      <c r="M16" s="43">
        <f>K16*L16*(1+Eingabeseite!$C$27)</f>
        <v>95</v>
      </c>
      <c r="N16" s="271">
        <f>M16/$M$67</f>
        <v>7.6338264723457673E-3</v>
      </c>
      <c r="O16" s="3" t="s">
        <v>29</v>
      </c>
      <c r="P16" s="4" t="str">
        <f>'Variante Vorgaben'!B109</f>
        <v>Stickstoff</v>
      </c>
      <c r="Q16" s="501">
        <f>'Variante Vorgaben'!B119</f>
        <v>1</v>
      </c>
      <c r="R16" s="181">
        <f>'Variante Vorgaben'!B118</f>
        <v>150</v>
      </c>
      <c r="S16" s="62">
        <f>'Variante Vorgaben'!B110</f>
        <v>0.95</v>
      </c>
      <c r="T16" s="60">
        <f>R16*S16*(1+Eingabeseite!$C$27)</f>
        <v>142.5</v>
      </c>
      <c r="U16" s="271">
        <f>T16/$T$67</f>
        <v>7.7672439814246369E-3</v>
      </c>
      <c r="V16" s="3" t="s">
        <v>29</v>
      </c>
      <c r="W16" s="4" t="str">
        <f>'Variante Vorgaben'!B109</f>
        <v>Stickstoff</v>
      </c>
      <c r="X16" s="850">
        <f>'Variante Vorgaben'!B121</f>
        <v>2</v>
      </c>
      <c r="Y16" s="181">
        <f>'Variante Vorgaben'!B120</f>
        <v>200</v>
      </c>
      <c r="Z16" s="62">
        <f>'Variante Vorgaben'!B110</f>
        <v>0.95</v>
      </c>
      <c r="AA16" s="43">
        <f>Y16*Z16*(1+Eingabeseite!$C$27)</f>
        <v>190</v>
      </c>
      <c r="AB16" s="271">
        <f>AA16/$AA$67</f>
        <v>9.3387418213204416E-3</v>
      </c>
      <c r="AC16" s="3" t="s">
        <v>29</v>
      </c>
      <c r="AD16" s="4" t="str">
        <f>'Variante Vorgaben'!B109</f>
        <v>Stickstoff</v>
      </c>
      <c r="AE16" s="850">
        <f>'Variante Vorgaben'!B123</f>
        <v>2</v>
      </c>
      <c r="AF16" s="192">
        <f>'Variante Vorgaben'!B122</f>
        <v>200</v>
      </c>
      <c r="AG16" s="59">
        <f>'Variante Vorgaben'!B110</f>
        <v>0.95</v>
      </c>
      <c r="AH16" s="60">
        <f>AF16*AG16*(1+Eingabeseite!$C$27)</f>
        <v>190</v>
      </c>
      <c r="AI16" s="271">
        <f>AH16/$AH$67</f>
        <v>7.1475037906615314E-3</v>
      </c>
      <c r="AJ16" s="3" t="s">
        <v>29</v>
      </c>
      <c r="AK16" s="4" t="str">
        <f>'Variante Vorgaben'!B109</f>
        <v>Stickstoff</v>
      </c>
      <c r="AL16" s="501">
        <f>'Variante Vorgaben'!B125</f>
        <v>2</v>
      </c>
      <c r="AM16" s="181">
        <f>'Variante Vorgaben'!B124</f>
        <v>200</v>
      </c>
      <c r="AN16" s="62">
        <f>'Variante Vorgaben'!B110</f>
        <v>0.95</v>
      </c>
      <c r="AO16" s="43">
        <f>AM16*AN16</f>
        <v>190</v>
      </c>
      <c r="AP16" s="271">
        <f>AO16/$AO$67</f>
        <v>6.470952686060287E-3</v>
      </c>
      <c r="AQ16" s="3" t="s">
        <v>29</v>
      </c>
      <c r="AR16" s="4" t="str">
        <f>'Variante Vorgaben'!B109</f>
        <v>Stickstoff</v>
      </c>
      <c r="AS16" s="501">
        <f>'Variante Vorgaben'!B125</f>
        <v>2</v>
      </c>
      <c r="AT16" s="181">
        <f>'Variante Vorgaben'!B124</f>
        <v>200</v>
      </c>
      <c r="AU16" s="62">
        <f>'Variante Vorgaben'!B110</f>
        <v>0.95</v>
      </c>
      <c r="AV16" s="43">
        <f>AT16*AU16</f>
        <v>190</v>
      </c>
      <c r="AW16" s="271">
        <f>AV16/$AV$67</f>
        <v>6.4703696333598864E-3</v>
      </c>
      <c r="AX16" s="3" t="s">
        <v>29</v>
      </c>
      <c r="AY16" s="4" t="str">
        <f>'Variante Vorgaben'!B109</f>
        <v>Stickstoff</v>
      </c>
      <c r="AZ16" s="501">
        <f>'Variante Vorgaben'!B125</f>
        <v>2</v>
      </c>
      <c r="BA16" s="181">
        <f>'Variante Vorgaben'!B124</f>
        <v>200</v>
      </c>
      <c r="BB16" s="62">
        <f>'Variante Vorgaben'!B110</f>
        <v>0.95</v>
      </c>
      <c r="BC16" s="43">
        <f>BA16*BB16</f>
        <v>190</v>
      </c>
      <c r="BD16" s="271">
        <f>BC16/$BC$67</f>
        <v>6.4697814396678741E-3</v>
      </c>
      <c r="BE16" s="3" t="s">
        <v>29</v>
      </c>
      <c r="BF16" s="4" t="str">
        <f>'Variante Vorgaben'!B109</f>
        <v>Stickstoff</v>
      </c>
      <c r="BG16" s="501">
        <f>'Variante Vorgaben'!B125</f>
        <v>2</v>
      </c>
      <c r="BH16" s="181">
        <f>'Variante Vorgaben'!B124</f>
        <v>200</v>
      </c>
      <c r="BI16" s="62">
        <f>'Variante Vorgaben'!B110</f>
        <v>0.95</v>
      </c>
      <c r="BJ16" s="43">
        <f>BH16*BI16</f>
        <v>190</v>
      </c>
      <c r="BK16" s="271">
        <f>BJ16/$BJ$67</f>
        <v>6.4691880606110759E-3</v>
      </c>
      <c r="BL16" s="3" t="s">
        <v>29</v>
      </c>
      <c r="BM16" s="4" t="str">
        <f>'Variante Vorgaben'!B109</f>
        <v>Stickstoff</v>
      </c>
      <c r="BN16" s="501">
        <f>'Variante Vorgaben'!B125</f>
        <v>2</v>
      </c>
      <c r="BO16" s="181">
        <f>'Variante Vorgaben'!B124</f>
        <v>200</v>
      </c>
      <c r="BP16" s="62">
        <f>'Variante Vorgaben'!B110</f>
        <v>0.95</v>
      </c>
      <c r="BQ16" s="43">
        <f>BO16*BP16</f>
        <v>190</v>
      </c>
      <c r="BR16" s="271">
        <f>BQ16/$BQ$67</f>
        <v>6.4685894514504415E-3</v>
      </c>
      <c r="BS16" s="3" t="s">
        <v>29</v>
      </c>
      <c r="BT16" s="4" t="str">
        <f>'Variante Vorgaben'!B109</f>
        <v>Stickstoff</v>
      </c>
      <c r="BU16" s="501">
        <f>'Variante Vorgaben'!B125</f>
        <v>2</v>
      </c>
      <c r="BV16" s="181">
        <f>'Variante Vorgaben'!B124</f>
        <v>200</v>
      </c>
      <c r="BW16" s="62">
        <f>'Variante Vorgaben'!B110</f>
        <v>0.95</v>
      </c>
      <c r="BX16" s="43">
        <f>BV16*BW16</f>
        <v>190</v>
      </c>
      <c r="BY16" s="271">
        <f>BX16/$BX$67</f>
        <v>6.4679855670783373E-3</v>
      </c>
      <c r="BZ16" s="3" t="s">
        <v>29</v>
      </c>
      <c r="CA16" s="4" t="str">
        <f>'Variante Vorgaben'!B109</f>
        <v>Stickstoff</v>
      </c>
      <c r="CB16" s="501">
        <f>'Variante Vorgaben'!B125</f>
        <v>2</v>
      </c>
      <c r="CC16" s="181">
        <f>'Variante Vorgaben'!B124</f>
        <v>200</v>
      </c>
      <c r="CD16" s="62">
        <f>'Variante Vorgaben'!B110</f>
        <v>0.95</v>
      </c>
      <c r="CE16" s="43">
        <f>CC16*CD16</f>
        <v>190</v>
      </c>
      <c r="CF16" s="271">
        <f>CE16/$CE$67</f>
        <v>6.4673763620158213E-3</v>
      </c>
      <c r="CG16" s="3" t="s">
        <v>29</v>
      </c>
      <c r="CH16" s="4" t="str">
        <f>'Variante Vorgaben'!B109</f>
        <v>Stickstoff</v>
      </c>
      <c r="CI16" s="501">
        <f>'Variante Vorgaben'!B125</f>
        <v>2</v>
      </c>
      <c r="CJ16" s="181">
        <f>'Variante Vorgaben'!B124</f>
        <v>200</v>
      </c>
      <c r="CK16" s="62">
        <f>'Variante Vorgaben'!B110</f>
        <v>0.95</v>
      </c>
      <c r="CL16" s="43">
        <f>CJ16*CK16</f>
        <v>190</v>
      </c>
      <c r="CM16" s="271">
        <f>CL16/$CL$67</f>
        <v>6.4667617904099074E-3</v>
      </c>
      <c r="CN16" s="3" t="s">
        <v>29</v>
      </c>
      <c r="CO16" s="4" t="str">
        <f>'Variante Vorgaben'!B109</f>
        <v>Stickstoff</v>
      </c>
      <c r="CP16" s="501">
        <f>'Variante Vorgaben'!B125</f>
        <v>2</v>
      </c>
      <c r="CQ16" s="181">
        <f>'Variante Vorgaben'!B124</f>
        <v>200</v>
      </c>
      <c r="CR16" s="62">
        <f>'Variante Vorgaben'!B110</f>
        <v>0.95</v>
      </c>
      <c r="CS16" s="43">
        <f>CQ16*CR16</f>
        <v>190</v>
      </c>
      <c r="CT16" s="271">
        <f>CS16/$CS$67</f>
        <v>6.4661418060308123E-3</v>
      </c>
      <c r="CU16" s="3" t="s">
        <v>29</v>
      </c>
      <c r="CV16" s="4" t="str">
        <f>'Variante Vorgaben'!$B$109</f>
        <v>Stickstoff</v>
      </c>
      <c r="CW16" s="501">
        <f>'Variante Vorgaben'!$B$125</f>
        <v>2</v>
      </c>
      <c r="CX16" s="181">
        <f>'Variante Vorgaben'!$B$124</f>
        <v>200</v>
      </c>
      <c r="CY16" s="62">
        <f>'Variante Vorgaben'!$B$110</f>
        <v>0.95</v>
      </c>
      <c r="CZ16" s="43">
        <f>CX16*CY16</f>
        <v>190</v>
      </c>
      <c r="DA16" s="271">
        <f>CZ16/$CZ$67</f>
        <v>6.4655163622691879E-3</v>
      </c>
      <c r="DB16" s="3" t="s">
        <v>29</v>
      </c>
      <c r="DC16" s="4" t="str">
        <f>'Variante Vorgaben'!$B$109</f>
        <v>Stickstoff</v>
      </c>
      <c r="DD16" s="501">
        <f>'Variante Vorgaben'!$B$125</f>
        <v>2</v>
      </c>
      <c r="DE16" s="181">
        <f>'Variante Vorgaben'!$B$124</f>
        <v>200</v>
      </c>
      <c r="DF16" s="62">
        <f>'Variante Vorgaben'!$B$110</f>
        <v>0.95</v>
      </c>
      <c r="DG16" s="43">
        <f>DE16*DF16</f>
        <v>190</v>
      </c>
      <c r="DH16" s="271">
        <f>DG16/$DG$67</f>
        <v>6.4648854121333458E-3</v>
      </c>
      <c r="DI16" s="3" t="s">
        <v>29</v>
      </c>
      <c r="DJ16" s="4" t="str">
        <f>'Variante Vorgaben'!$B$109</f>
        <v>Stickstoff</v>
      </c>
      <c r="DK16" s="501">
        <f>'Variante Vorgaben'!$B$125</f>
        <v>2</v>
      </c>
      <c r="DL16" s="181">
        <f>'Variante Vorgaben'!$B$124</f>
        <v>200</v>
      </c>
      <c r="DM16" s="62">
        <f>'Variante Vorgaben'!$B$110</f>
        <v>0.95</v>
      </c>
      <c r="DN16" s="43">
        <f>DL16*DM16</f>
        <v>190</v>
      </c>
      <c r="DO16" s="271">
        <f>DN16/$DN$67</f>
        <v>6.4642489082464586E-3</v>
      </c>
      <c r="DP16" s="3" t="s">
        <v>29</v>
      </c>
      <c r="DQ16" s="4" t="str">
        <f>'Variante Vorgaben'!$B$109</f>
        <v>Stickstoff</v>
      </c>
      <c r="DR16" s="501">
        <f>'Variante Vorgaben'!$B$125</f>
        <v>2</v>
      </c>
      <c r="DS16" s="181">
        <f>'Variante Vorgaben'!$B$124</f>
        <v>200</v>
      </c>
      <c r="DT16" s="62">
        <f>'Variante Vorgaben'!$B$110</f>
        <v>0.95</v>
      </c>
      <c r="DU16" s="43">
        <f>DS16*DT16</f>
        <v>190</v>
      </c>
      <c r="DV16" s="271">
        <f>DU16/$DU$67</f>
        <v>6.4636068028437535E-3</v>
      </c>
      <c r="DW16" s="3" t="s">
        <v>29</v>
      </c>
      <c r="DX16" s="4" t="str">
        <f>'Variante Vorgaben'!$B$109</f>
        <v>Stickstoff</v>
      </c>
      <c r="DY16" s="501">
        <f>'Variante Vorgaben'!$B$125</f>
        <v>2</v>
      </c>
      <c r="DZ16" s="181">
        <f>'Variante Vorgaben'!$B$124</f>
        <v>200</v>
      </c>
      <c r="EA16" s="62">
        <f>'Variante Vorgaben'!$B$110</f>
        <v>0.95</v>
      </c>
      <c r="EB16" s="43">
        <f>DZ16*EA16</f>
        <v>190</v>
      </c>
      <c r="EC16" s="271">
        <f>EB16/$EB$67</f>
        <v>6.4629590477696891E-3</v>
      </c>
      <c r="ED16" s="3" t="s">
        <v>29</v>
      </c>
      <c r="EE16" s="4" t="str">
        <f>'Variante Vorgaben'!$B$109</f>
        <v>Stickstoff</v>
      </c>
      <c r="EF16" s="501">
        <f>'Variante Vorgaben'!$B$125</f>
        <v>2</v>
      </c>
      <c r="EG16" s="181">
        <f>'Variante Vorgaben'!$B$124</f>
        <v>200</v>
      </c>
      <c r="EH16" s="62">
        <f>'Variante Vorgaben'!$B$110</f>
        <v>0.95</v>
      </c>
      <c r="EI16" s="43">
        <f>EG16*EH16</f>
        <v>190</v>
      </c>
      <c r="EJ16" s="271">
        <f>EI16/$EI$67</f>
        <v>5.3670388951692861E-3</v>
      </c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</row>
    <row r="17" spans="1:140" s="1" customFormat="1" x14ac:dyDescent="0.2">
      <c r="A17" s="3"/>
      <c r="B17" s="4" t="str">
        <f>'Variante Vorgaben'!$C$109</f>
        <v>Gurnddüngung</v>
      </c>
      <c r="C17" s="850">
        <f>'Variante Vorgaben'!C115</f>
        <v>0</v>
      </c>
      <c r="D17" s="181">
        <f>'Variante Vorgaben'!C114</f>
        <v>50</v>
      </c>
      <c r="E17" s="62">
        <f>'Variante Vorgaben'!C110</f>
        <v>0.43</v>
      </c>
      <c r="F17" s="60">
        <f>D17*E17*(1+Eingabeseite!$C$27)</f>
        <v>21.5</v>
      </c>
      <c r="G17" s="271">
        <f>F17/$F$67</f>
        <v>2.1174187659466609E-3</v>
      </c>
      <c r="H17" s="3"/>
      <c r="I17" s="4" t="str">
        <f>'Variante Vorgaben'!$C$109</f>
        <v>Gurnddüngung</v>
      </c>
      <c r="J17" s="850">
        <f>'Variante Vorgaben'!C117</f>
        <v>0</v>
      </c>
      <c r="K17" s="181">
        <f>'Variante Vorgaben'!C116</f>
        <v>125</v>
      </c>
      <c r="L17" s="62">
        <f>'Variante Vorgaben'!C110</f>
        <v>0.43</v>
      </c>
      <c r="M17" s="60">
        <f>K17*L17*(1+Eingabeseite!$C$27)</f>
        <v>53.75</v>
      </c>
      <c r="N17" s="271">
        <f>M17/$M$67</f>
        <v>4.3191386619851049E-3</v>
      </c>
      <c r="O17" s="3"/>
      <c r="P17" s="4" t="str">
        <f>'Variante Vorgaben'!C109</f>
        <v>Gurnddüngung</v>
      </c>
      <c r="Q17" s="850">
        <f>'Variante Vorgaben'!C119</f>
        <v>1</v>
      </c>
      <c r="R17" s="181">
        <f>'Variante Vorgaben'!C118</f>
        <v>200</v>
      </c>
      <c r="S17" s="62">
        <f>'Variante Vorgaben'!C110</f>
        <v>0.43</v>
      </c>
      <c r="T17" s="60">
        <f>R17*S17*(1+Eingabeseite!$C$27)</f>
        <v>86</v>
      </c>
      <c r="U17" s="271">
        <f>T17/$T$67</f>
        <v>4.6875998765089034E-3</v>
      </c>
      <c r="V17" s="3"/>
      <c r="W17" s="4" t="str">
        <f>'Variante Vorgaben'!C109</f>
        <v>Gurnddüngung</v>
      </c>
      <c r="X17" s="850">
        <f>'Variante Vorgaben'!C121</f>
        <v>1</v>
      </c>
      <c r="Y17" s="181">
        <f>'Variante Vorgaben'!C120</f>
        <v>400</v>
      </c>
      <c r="Z17" s="62">
        <f>'Variante Vorgaben'!C110</f>
        <v>0.43</v>
      </c>
      <c r="AA17" s="60">
        <f>Y17*Z17*(1+Eingabeseite!$C$27)</f>
        <v>172</v>
      </c>
      <c r="AB17" s="271">
        <f>AA17/$AA$67</f>
        <v>8.4540189119321901E-3</v>
      </c>
      <c r="AC17" s="3"/>
      <c r="AD17" s="4" t="str">
        <f>'Variante Vorgaben'!C109</f>
        <v>Gurnddüngung</v>
      </c>
      <c r="AE17" s="850">
        <f>'Variante Vorgaben'!C123</f>
        <v>1</v>
      </c>
      <c r="AF17" s="192">
        <f>'Variante Vorgaben'!C122</f>
        <v>400</v>
      </c>
      <c r="AG17" s="59">
        <f>'Variante Vorgaben'!C110</f>
        <v>0.43</v>
      </c>
      <c r="AH17" s="60">
        <f>AF17*AG17*(1+Eingabeseite!$C$27)</f>
        <v>172</v>
      </c>
      <c r="AI17" s="271">
        <f>AH17/$AH$67</f>
        <v>6.4703718525988595E-3</v>
      </c>
      <c r="AJ17" s="3"/>
      <c r="AK17" s="4" t="str">
        <f>'Variante Vorgaben'!C109</f>
        <v>Gurnddüngung</v>
      </c>
      <c r="AL17" s="850">
        <f>'Variante Vorgaben'!C125</f>
        <v>1</v>
      </c>
      <c r="AM17" s="192">
        <f>'Variante Vorgaben'!C124</f>
        <v>400</v>
      </c>
      <c r="AN17" s="59">
        <f>'Variante Vorgaben'!C110</f>
        <v>0.43</v>
      </c>
      <c r="AO17" s="60">
        <f>AM17*AN17</f>
        <v>172</v>
      </c>
      <c r="AP17" s="271">
        <f>AO17/$AO$67</f>
        <v>5.8579150631703648E-3</v>
      </c>
      <c r="AQ17" s="3"/>
      <c r="AR17" s="4" t="str">
        <f>'Variante Vorgaben'!C109</f>
        <v>Gurnddüngung</v>
      </c>
      <c r="AS17" s="850">
        <f>'Variante Vorgaben'!C125</f>
        <v>1</v>
      </c>
      <c r="AT17" s="192">
        <f>'Variante Vorgaben'!C124</f>
        <v>400</v>
      </c>
      <c r="AU17" s="59">
        <f>'Variante Vorgaben'!C110</f>
        <v>0.43</v>
      </c>
      <c r="AV17" s="60">
        <f>AT17*AU17</f>
        <v>172</v>
      </c>
      <c r="AW17" s="271">
        <f>AV17/$AV$67</f>
        <v>5.8573872470415811E-3</v>
      </c>
      <c r="AX17" s="3"/>
      <c r="AY17" s="4" t="str">
        <f>'Variante Vorgaben'!C109</f>
        <v>Gurnddüngung</v>
      </c>
      <c r="AZ17" s="850">
        <f>'Variante Vorgaben'!C125</f>
        <v>1</v>
      </c>
      <c r="BA17" s="192">
        <f>'Variante Vorgaben'!C124</f>
        <v>400</v>
      </c>
      <c r="BB17" s="59">
        <f>'Variante Vorgaben'!C110</f>
        <v>0.43</v>
      </c>
      <c r="BC17" s="60">
        <f>BA17*BB17</f>
        <v>172</v>
      </c>
      <c r="BD17" s="271">
        <f>BC17/$BC$67</f>
        <v>5.856854776962496E-3</v>
      </c>
      <c r="BE17" s="3"/>
      <c r="BF17" s="4" t="str">
        <f>'Variante Vorgaben'!C109</f>
        <v>Gurnddüngung</v>
      </c>
      <c r="BG17" s="850">
        <f>'Variante Vorgaben'!C125</f>
        <v>1</v>
      </c>
      <c r="BH17" s="192">
        <f>'Variante Vorgaben'!C124</f>
        <v>400</v>
      </c>
      <c r="BI17" s="59">
        <f>'Variante Vorgaben'!C110</f>
        <v>0.43</v>
      </c>
      <c r="BJ17" s="60">
        <f>BH17*BI17</f>
        <v>172</v>
      </c>
      <c r="BK17" s="271">
        <f>BJ17/$BJ$67</f>
        <v>5.8563176127637102E-3</v>
      </c>
      <c r="BL17" s="3"/>
      <c r="BM17" s="4" t="str">
        <f>'Variante Vorgaben'!C109</f>
        <v>Gurnddüngung</v>
      </c>
      <c r="BN17" s="850">
        <f>'Variante Vorgaben'!C125</f>
        <v>1</v>
      </c>
      <c r="BO17" s="192">
        <f>'Variante Vorgaben'!C124</f>
        <v>400</v>
      </c>
      <c r="BP17" s="59">
        <f>'Variante Vorgaben'!C110</f>
        <v>0.43</v>
      </c>
      <c r="BQ17" s="60">
        <f>BO17*BP17</f>
        <v>172</v>
      </c>
      <c r="BR17" s="271">
        <f>BQ17/$BQ$67</f>
        <v>5.8557757139446097E-3</v>
      </c>
      <c r="BS17" s="3"/>
      <c r="BT17" s="4" t="str">
        <f>'Variante Vorgaben'!C109</f>
        <v>Gurnddüngung</v>
      </c>
      <c r="BU17" s="850">
        <f>'Variante Vorgaben'!C125</f>
        <v>1</v>
      </c>
      <c r="BV17" s="192">
        <f>'Variante Vorgaben'!C124</f>
        <v>400</v>
      </c>
      <c r="BW17" s="59">
        <f>'Variante Vorgaben'!C110</f>
        <v>0.43</v>
      </c>
      <c r="BX17" s="60">
        <f>BV17*BW17</f>
        <v>172</v>
      </c>
      <c r="BY17" s="271">
        <f>BX17/$BX$67</f>
        <v>5.8552290396709158E-3</v>
      </c>
      <c r="BZ17" s="3"/>
      <c r="CA17" s="4" t="str">
        <f>'Variante Vorgaben'!C109</f>
        <v>Gurnddüngung</v>
      </c>
      <c r="CB17" s="850">
        <f>'Variante Vorgaben'!C125</f>
        <v>1</v>
      </c>
      <c r="CC17" s="192">
        <f>'Variante Vorgaben'!C124</f>
        <v>400</v>
      </c>
      <c r="CD17" s="59">
        <f>'Variante Vorgaben'!C110</f>
        <v>0.43</v>
      </c>
      <c r="CE17" s="60">
        <f>CC17*CD17</f>
        <v>172</v>
      </c>
      <c r="CF17" s="271">
        <f>CE17/$CE$67</f>
        <v>5.8546775487722169E-3</v>
      </c>
      <c r="CG17" s="3"/>
      <c r="CH17" s="4" t="str">
        <f>'Variante Vorgaben'!C109</f>
        <v>Gurnddüngung</v>
      </c>
      <c r="CI17" s="850">
        <f>'Variante Vorgaben'!C125</f>
        <v>1</v>
      </c>
      <c r="CJ17" s="192">
        <f>'Variante Vorgaben'!C124</f>
        <v>400</v>
      </c>
      <c r="CK17" s="59">
        <f>'Variante Vorgaben'!C110</f>
        <v>0.43</v>
      </c>
      <c r="CL17" s="60">
        <f>CJ17*CK17</f>
        <v>172</v>
      </c>
      <c r="CM17" s="271">
        <f>CL17/$CL$67</f>
        <v>5.8541211997394952E-3</v>
      </c>
      <c r="CN17" s="3"/>
      <c r="CO17" s="4" t="str">
        <f>'Variante Vorgaben'!C109</f>
        <v>Gurnddüngung</v>
      </c>
      <c r="CP17" s="850">
        <f>'Variante Vorgaben'!C125</f>
        <v>1</v>
      </c>
      <c r="CQ17" s="192">
        <f>'Variante Vorgaben'!C124</f>
        <v>400</v>
      </c>
      <c r="CR17" s="59">
        <f>'Variante Vorgaben'!C110</f>
        <v>0.43</v>
      </c>
      <c r="CS17" s="60">
        <f>CQ17*CR17</f>
        <v>172</v>
      </c>
      <c r="CT17" s="271">
        <f>CS17/$CS$67</f>
        <v>5.8535599507226303E-3</v>
      </c>
      <c r="CU17" s="3"/>
      <c r="CV17" s="4" t="str">
        <f>'Variante Vorgaben'!$C$109</f>
        <v>Gurnddüngung</v>
      </c>
      <c r="CW17" s="850">
        <f>'Variante Vorgaben'!$C$125</f>
        <v>1</v>
      </c>
      <c r="CX17" s="192">
        <f>'Variante Vorgaben'!$C$124</f>
        <v>400</v>
      </c>
      <c r="CY17" s="59">
        <f>'Variante Vorgaben'!$C$110</f>
        <v>0.43</v>
      </c>
      <c r="CZ17" s="60">
        <f>CX17*CY17</f>
        <v>172</v>
      </c>
      <c r="DA17" s="271">
        <f>CZ17/$CZ$67</f>
        <v>5.8529937595278971E-3</v>
      </c>
      <c r="DB17" s="3"/>
      <c r="DC17" s="4" t="str">
        <f>'Variante Vorgaben'!$C$109</f>
        <v>Gurnddüngung</v>
      </c>
      <c r="DD17" s="850">
        <f>'Variante Vorgaben'!$C$125</f>
        <v>1</v>
      </c>
      <c r="DE17" s="192">
        <f>'Variante Vorgaben'!$C$124</f>
        <v>400</v>
      </c>
      <c r="DF17" s="59">
        <f>'Variante Vorgaben'!$C$110</f>
        <v>0.43</v>
      </c>
      <c r="DG17" s="60">
        <f>DE17*DF17</f>
        <v>172</v>
      </c>
      <c r="DH17" s="271">
        <f>DG17/$DG$67</f>
        <v>5.8524225836154497E-3</v>
      </c>
      <c r="DI17" s="3"/>
      <c r="DJ17" s="4" t="str">
        <f>'Variante Vorgaben'!$C$109</f>
        <v>Gurnddüngung</v>
      </c>
      <c r="DK17" s="850">
        <f>'Variante Vorgaben'!$C$125</f>
        <v>1</v>
      </c>
      <c r="DL17" s="192">
        <f>'Variante Vorgaben'!$C$124</f>
        <v>400</v>
      </c>
      <c r="DM17" s="59">
        <f>'Variante Vorgaben'!$C$110</f>
        <v>0.43</v>
      </c>
      <c r="DN17" s="60">
        <f>DL17*DM17</f>
        <v>172</v>
      </c>
      <c r="DO17" s="271">
        <f>DN17/$DN$67</f>
        <v>5.8518463800967943E-3</v>
      </c>
      <c r="DP17" s="3"/>
      <c r="DQ17" s="4" t="str">
        <f>'Variante Vorgaben'!$C$109</f>
        <v>Gurnddüngung</v>
      </c>
      <c r="DR17" s="850">
        <f>'Variante Vorgaben'!$C$125</f>
        <v>1</v>
      </c>
      <c r="DS17" s="192">
        <f>'Variante Vorgaben'!$C$124</f>
        <v>400</v>
      </c>
      <c r="DT17" s="59">
        <f>'Variante Vorgaben'!$C$110</f>
        <v>0.43</v>
      </c>
      <c r="DU17" s="60">
        <f>DS17*DT17</f>
        <v>172</v>
      </c>
      <c r="DV17" s="271">
        <f>DU17/$DU$67</f>
        <v>5.8512651057322403E-3</v>
      </c>
      <c r="DW17" s="3"/>
      <c r="DX17" s="4" t="str">
        <f>'Variante Vorgaben'!$C$109</f>
        <v>Gurnddüngung</v>
      </c>
      <c r="DY17" s="850">
        <f>'Variante Vorgaben'!$C$125</f>
        <v>1</v>
      </c>
      <c r="DZ17" s="192">
        <f>'Variante Vorgaben'!$C$124</f>
        <v>400</v>
      </c>
      <c r="EA17" s="59">
        <f>'Variante Vorgaben'!$C$110</f>
        <v>0.43</v>
      </c>
      <c r="EB17" s="60">
        <f>DZ17*EA17</f>
        <v>172</v>
      </c>
      <c r="EC17" s="271">
        <f>EB17/$EB$67</f>
        <v>5.8506787169283507E-3</v>
      </c>
      <c r="ED17" s="3"/>
      <c r="EE17" s="4" t="str">
        <f>'Variante Vorgaben'!$C$109</f>
        <v>Gurnddüngung</v>
      </c>
      <c r="EF17" s="850">
        <f>'Variante Vorgaben'!$C$125</f>
        <v>1</v>
      </c>
      <c r="EG17" s="192">
        <f>'Variante Vorgaben'!$C$124</f>
        <v>400</v>
      </c>
      <c r="EH17" s="59">
        <f>'Variante Vorgaben'!$C$110</f>
        <v>0.43</v>
      </c>
      <c r="EI17" s="60">
        <f>EG17*EH17</f>
        <v>172</v>
      </c>
      <c r="EJ17" s="271">
        <f>EI17/$EI$67</f>
        <v>4.8585825787848275E-3</v>
      </c>
    </row>
    <row r="18" spans="1:140" s="1" customFormat="1" ht="13.5" thickBot="1" x14ac:dyDescent="0.25">
      <c r="A18" s="3"/>
      <c r="B18" s="4" t="str">
        <f>'Variante Vorgaben'!$D$109</f>
        <v>Hühnermist</v>
      </c>
      <c r="C18" s="850">
        <f>'Variante Vorgaben'!D115</f>
        <v>0</v>
      </c>
      <c r="D18" s="181">
        <f>'Variante Vorgaben'!D114</f>
        <v>0</v>
      </c>
      <c r="E18" s="62">
        <f>'Variante Vorgaben'!$D$110</f>
        <v>0.35</v>
      </c>
      <c r="F18" s="197">
        <f>D18*E18*(1+Eingabeseite!$C$27)</f>
        <v>0</v>
      </c>
      <c r="G18" s="271">
        <f>F18/$F$67</f>
        <v>0</v>
      </c>
      <c r="H18" s="3"/>
      <c r="I18" s="4" t="str">
        <f>'Variante Vorgaben'!$D$109</f>
        <v>Hühnermist</v>
      </c>
      <c r="J18" s="850">
        <f>'Variante Vorgaben'!D117</f>
        <v>0</v>
      </c>
      <c r="K18" s="192">
        <f>'Variante Vorgaben'!D116</f>
        <v>0</v>
      </c>
      <c r="L18" s="59">
        <f>'Variante Vorgaben'!$D$110</f>
        <v>0.35</v>
      </c>
      <c r="M18" s="197">
        <f>K18*L18*(1+Eingabeseite!$C$27)</f>
        <v>0</v>
      </c>
      <c r="N18" s="271">
        <f>M18/$M$67</f>
        <v>0</v>
      </c>
      <c r="O18" s="3"/>
      <c r="P18" s="4" t="str">
        <f>'Variante Vorgaben'!$D$109</f>
        <v>Hühnermist</v>
      </c>
      <c r="Q18" s="850">
        <f>'Variante Vorgaben'!D119</f>
        <v>0</v>
      </c>
      <c r="R18" s="192">
        <f>'Variante Vorgaben'!D118</f>
        <v>0</v>
      </c>
      <c r="S18" s="59">
        <f>'Variante Vorgaben'!$D$110</f>
        <v>0.35</v>
      </c>
      <c r="T18" s="197">
        <f>R18*S18*(1+Eingabeseite!$C$27)</f>
        <v>0</v>
      </c>
      <c r="U18" s="271">
        <f>T18/$T$67</f>
        <v>0</v>
      </c>
      <c r="V18" s="3"/>
      <c r="W18" s="4" t="str">
        <f>'Variante Vorgaben'!$D$109</f>
        <v>Hühnermist</v>
      </c>
      <c r="X18" s="850">
        <f>'Variante Vorgaben'!D121</f>
        <v>0</v>
      </c>
      <c r="Y18" s="192">
        <f>'Variante Vorgaben'!D120</f>
        <v>0</v>
      </c>
      <c r="Z18" s="59">
        <f>'Variante Vorgaben'!$D$110</f>
        <v>0.35</v>
      </c>
      <c r="AA18" s="197">
        <f>Y18*Z18*(1+Eingabeseite!$C$27)</f>
        <v>0</v>
      </c>
      <c r="AB18" s="271">
        <f>AA18/$AA$67</f>
        <v>0</v>
      </c>
      <c r="AC18" s="3"/>
      <c r="AD18" s="4" t="str">
        <f>'Variante Vorgaben'!$D$109</f>
        <v>Hühnermist</v>
      </c>
      <c r="AE18" s="850">
        <f>'Variante Vorgaben'!D123</f>
        <v>0</v>
      </c>
      <c r="AF18" s="192">
        <f>'Variante Vorgaben'!D122</f>
        <v>0</v>
      </c>
      <c r="AG18" s="59">
        <f>'Variante Vorgaben'!$D$110</f>
        <v>0.35</v>
      </c>
      <c r="AH18" s="197">
        <f>AE18*AF18*AG18*(1+Eingabeseite!$C$27)</f>
        <v>0</v>
      </c>
      <c r="AI18" s="271">
        <f>AH18/$AH$67</f>
        <v>0</v>
      </c>
      <c r="AJ18" s="3"/>
      <c r="AK18" s="4" t="str">
        <f>'Variante Vorgaben'!$D$109</f>
        <v>Hühnermist</v>
      </c>
      <c r="AL18" s="850">
        <f>'Variante Vorgaben'!$D$125</f>
        <v>1</v>
      </c>
      <c r="AM18" s="192">
        <f>'Variante Vorgaben'!$D$124</f>
        <v>1000</v>
      </c>
      <c r="AN18" s="59">
        <f>'Variante Vorgaben'!$D$110</f>
        <v>0.35</v>
      </c>
      <c r="AO18" s="197">
        <f>AL18*AM18*AN18</f>
        <v>350</v>
      </c>
      <c r="AP18" s="271">
        <f>AO18/$AO$67</f>
        <v>1.192017600063737E-2</v>
      </c>
      <c r="AQ18" s="3"/>
      <c r="AR18" s="4" t="str">
        <f>'Variante Vorgaben'!$D$109</f>
        <v>Hühnermist</v>
      </c>
      <c r="AS18" s="850">
        <f>'Variante Vorgaben'!$D$125</f>
        <v>1</v>
      </c>
      <c r="AT18" s="192">
        <f>'Variante Vorgaben'!$D$124</f>
        <v>1000</v>
      </c>
      <c r="AU18" s="59">
        <f>'Variante Vorgaben'!$D$110</f>
        <v>0.35</v>
      </c>
      <c r="AV18" s="197">
        <f>AS18*AT18*AU18</f>
        <v>350</v>
      </c>
      <c r="AW18" s="271">
        <f>AV18/$AV$67</f>
        <v>1.1919101956189265E-2</v>
      </c>
      <c r="AX18" s="3"/>
      <c r="AY18" s="4" t="str">
        <f>'Variante Vorgaben'!$D$109</f>
        <v>Hühnermist</v>
      </c>
      <c r="AZ18" s="850">
        <f>'Variante Vorgaben'!$D$125</f>
        <v>1</v>
      </c>
      <c r="BA18" s="192">
        <f>'Variante Vorgaben'!$D$124</f>
        <v>1000</v>
      </c>
      <c r="BB18" s="59">
        <f>'Variante Vorgaben'!$D$110</f>
        <v>0.35</v>
      </c>
      <c r="BC18" s="197">
        <f>AZ18*BA18*BB18</f>
        <v>350</v>
      </c>
      <c r="BD18" s="271">
        <f>BC18/$BC$67</f>
        <v>1.1918018441493452E-2</v>
      </c>
      <c r="BE18" s="3"/>
      <c r="BF18" s="4" t="str">
        <f>'Variante Vorgaben'!$D$109</f>
        <v>Hühnermist</v>
      </c>
      <c r="BG18" s="850">
        <f>'Variante Vorgaben'!$D$125</f>
        <v>1</v>
      </c>
      <c r="BH18" s="192">
        <f>'Variante Vorgaben'!$D$124</f>
        <v>1000</v>
      </c>
      <c r="BI18" s="59">
        <f>'Variante Vorgaben'!$D$110</f>
        <v>0.35</v>
      </c>
      <c r="BJ18" s="197">
        <f>BG18*BH18*BI18</f>
        <v>350</v>
      </c>
      <c r="BK18" s="271">
        <f>BJ18/$BJ$67</f>
        <v>1.1916925374809876E-2</v>
      </c>
      <c r="BL18" s="3"/>
      <c r="BM18" s="4" t="str">
        <f>'Variante Vorgaben'!$D$109</f>
        <v>Hühnermist</v>
      </c>
      <c r="BN18" s="850">
        <f>'Variante Vorgaben'!$D$125</f>
        <v>1</v>
      </c>
      <c r="BO18" s="192">
        <f>'Variante Vorgaben'!$D$124</f>
        <v>1000</v>
      </c>
      <c r="BP18" s="59">
        <f>'Variante Vorgaben'!$D$110</f>
        <v>0.35</v>
      </c>
      <c r="BQ18" s="197">
        <f>BN18*BO18*BP18</f>
        <v>350</v>
      </c>
      <c r="BR18" s="271">
        <f>BQ18/$BQ$67</f>
        <v>1.1915822673724498E-2</v>
      </c>
      <c r="BS18" s="3"/>
      <c r="BT18" s="4" t="str">
        <f>'Variante Vorgaben'!$D$109</f>
        <v>Hühnermist</v>
      </c>
      <c r="BU18" s="850">
        <f>'Variante Vorgaben'!$D$125</f>
        <v>1</v>
      </c>
      <c r="BV18" s="192">
        <f>'Variante Vorgaben'!$D$124</f>
        <v>1000</v>
      </c>
      <c r="BW18" s="59">
        <f>'Variante Vorgaben'!$D$110</f>
        <v>0.35</v>
      </c>
      <c r="BX18" s="197">
        <f>BU18*BV18*BW18</f>
        <v>350</v>
      </c>
      <c r="BY18" s="271">
        <f>BX18/$BX$67</f>
        <v>1.1914710255144305E-2</v>
      </c>
      <c r="BZ18" s="3"/>
      <c r="CA18" s="4" t="str">
        <f>'Variante Vorgaben'!$D$109</f>
        <v>Hühnermist</v>
      </c>
      <c r="CB18" s="850">
        <f>'Variante Vorgaben'!$D$125</f>
        <v>1</v>
      </c>
      <c r="CC18" s="192">
        <f>'Variante Vorgaben'!$D$124</f>
        <v>1000</v>
      </c>
      <c r="CD18" s="59">
        <f>'Variante Vorgaben'!$D$110</f>
        <v>0.35</v>
      </c>
      <c r="CE18" s="197">
        <f>CB18*CC18*CD18</f>
        <v>350</v>
      </c>
      <c r="CF18" s="271">
        <f>CE18/$CE$67</f>
        <v>1.1913588035292303E-2</v>
      </c>
      <c r="CG18" s="3"/>
      <c r="CH18" s="4" t="str">
        <f>'Variante Vorgaben'!$D$109</f>
        <v>Hühnermist</v>
      </c>
      <c r="CI18" s="850">
        <f>'Variante Vorgaben'!$D$125</f>
        <v>1</v>
      </c>
      <c r="CJ18" s="192">
        <f>'Variante Vorgaben'!$D$124</f>
        <v>1000</v>
      </c>
      <c r="CK18" s="59">
        <f>'Variante Vorgaben'!$D$110</f>
        <v>0.35</v>
      </c>
      <c r="CL18" s="197">
        <f>CI18*CJ18*CK18</f>
        <v>350</v>
      </c>
      <c r="CM18" s="271">
        <f>CL18/$CL$67</f>
        <v>1.1912455929702461E-2</v>
      </c>
      <c r="CN18" s="3"/>
      <c r="CO18" s="4" t="str">
        <f>'Variante Vorgaben'!$D$109</f>
        <v>Hühnermist</v>
      </c>
      <c r="CP18" s="850">
        <f>'Variante Vorgaben'!$D$125</f>
        <v>1</v>
      </c>
      <c r="CQ18" s="192">
        <f>'Variante Vorgaben'!$D$124</f>
        <v>1000</v>
      </c>
      <c r="CR18" s="59">
        <f>'Variante Vorgaben'!$D$110</f>
        <v>0.35</v>
      </c>
      <c r="CS18" s="197">
        <f>CP18*CQ18*CR18</f>
        <v>350</v>
      </c>
      <c r="CT18" s="271">
        <f>CS18/$CS$67</f>
        <v>1.1911313853214655E-2</v>
      </c>
      <c r="CU18" s="3"/>
      <c r="CV18" s="4" t="str">
        <f>'Variante Vorgaben'!$D$109</f>
        <v>Hühnermist</v>
      </c>
      <c r="CW18" s="850">
        <f>'Variante Vorgaben'!$D$125</f>
        <v>1</v>
      </c>
      <c r="CX18" s="192">
        <f>'Variante Vorgaben'!$D$124</f>
        <v>1000</v>
      </c>
      <c r="CY18" s="59">
        <f>'Variante Vorgaben'!$D$110</f>
        <v>0.35</v>
      </c>
      <c r="CZ18" s="197">
        <f>CW18*CX18*CY18</f>
        <v>350</v>
      </c>
      <c r="DA18" s="271">
        <f>CZ18/$CZ$67</f>
        <v>1.1910161719969557E-2</v>
      </c>
      <c r="DB18" s="3"/>
      <c r="DC18" s="4" t="str">
        <f>'Variante Vorgaben'!$D$109</f>
        <v>Hühnermist</v>
      </c>
      <c r="DD18" s="850">
        <f>'Variante Vorgaben'!$D$125</f>
        <v>1</v>
      </c>
      <c r="DE18" s="192">
        <f>'Variante Vorgaben'!$D$124</f>
        <v>1000</v>
      </c>
      <c r="DF18" s="59">
        <f>'Variante Vorgaben'!$D$110</f>
        <v>0.35</v>
      </c>
      <c r="DG18" s="197">
        <f>DD18*DE18*DF18</f>
        <v>350</v>
      </c>
      <c r="DH18" s="271"/>
      <c r="DI18" s="3"/>
      <c r="DJ18" s="4" t="str">
        <f>'Variante Vorgaben'!$D$109</f>
        <v>Hühnermist</v>
      </c>
      <c r="DK18" s="850">
        <f>'Variante Vorgaben'!$D$125</f>
        <v>1</v>
      </c>
      <c r="DL18" s="192">
        <f>'Variante Vorgaben'!$D$124</f>
        <v>1000</v>
      </c>
      <c r="DM18" s="59">
        <f>'Variante Vorgaben'!$D$110</f>
        <v>0.35</v>
      </c>
      <c r="DN18" s="197">
        <f>DK18*DL18*DM18</f>
        <v>350</v>
      </c>
      <c r="DO18" s="271">
        <f>DN18/$DN$67</f>
        <v>1.1907826936243477E-2</v>
      </c>
      <c r="DP18" s="3"/>
      <c r="DQ18" s="4" t="str">
        <f>'Variante Vorgaben'!$D$109</f>
        <v>Hühnermist</v>
      </c>
      <c r="DR18" s="850">
        <f>'Variante Vorgaben'!$D$125</f>
        <v>1</v>
      </c>
      <c r="DS18" s="192">
        <f>'Variante Vorgaben'!$D$124</f>
        <v>1000</v>
      </c>
      <c r="DT18" s="59">
        <f>'Variante Vorgaben'!$D$110</f>
        <v>0.35</v>
      </c>
      <c r="DU18" s="197">
        <f>DR18*DS18*DT18</f>
        <v>350</v>
      </c>
      <c r="DV18" s="271">
        <f>DU18/$DU$67</f>
        <v>1.1906644110501652E-2</v>
      </c>
      <c r="DW18" s="3"/>
      <c r="DX18" s="4" t="str">
        <f>'Variante Vorgaben'!$D$109</f>
        <v>Hühnermist</v>
      </c>
      <c r="DY18" s="850">
        <f>'Variante Vorgaben'!$D$125</f>
        <v>1</v>
      </c>
      <c r="DZ18" s="192">
        <f>'Variante Vorgaben'!$D$124</f>
        <v>1000</v>
      </c>
      <c r="EA18" s="59">
        <f>'Variante Vorgaben'!$D$110</f>
        <v>0.35</v>
      </c>
      <c r="EB18" s="197">
        <f>DY18*DZ18*EA18</f>
        <v>350</v>
      </c>
      <c r="EC18" s="271">
        <f>EB18/$EB$67</f>
        <v>1.190545087747048E-2</v>
      </c>
      <c r="ED18" s="3"/>
      <c r="EE18" s="4" t="str">
        <f>'Variante Vorgaben'!$D$109</f>
        <v>Hühnermist</v>
      </c>
      <c r="EF18" s="850">
        <f>'Variante Vorgaben'!$D$125</f>
        <v>1</v>
      </c>
      <c r="EG18" s="192">
        <f>'Variante Vorgaben'!$D$124</f>
        <v>1000</v>
      </c>
      <c r="EH18" s="59">
        <f>'Variante Vorgaben'!$D$110</f>
        <v>0.35</v>
      </c>
      <c r="EI18" s="197">
        <f>EF18*EG18*EH18</f>
        <v>350</v>
      </c>
      <c r="EJ18" s="271">
        <f>EI18/$EI$67</f>
        <v>9.8866505963644737E-3</v>
      </c>
    </row>
    <row r="19" spans="1:140" s="1" customFormat="1" x14ac:dyDescent="0.2">
      <c r="A19" s="3"/>
      <c r="B19" s="4"/>
      <c r="C19" s="46">
        <f>SUM(C16:C18)</f>
        <v>0</v>
      </c>
      <c r="D19" s="46"/>
      <c r="E19" s="62"/>
      <c r="F19" s="77">
        <f>SUM(F16:F18)</f>
        <v>69</v>
      </c>
      <c r="G19" s="271">
        <f>F19/$F$67</f>
        <v>6.7954369697823067E-3</v>
      </c>
      <c r="H19" s="3"/>
      <c r="I19" s="4"/>
      <c r="J19" s="46">
        <f>SUM(J16:J18)</f>
        <v>1</v>
      </c>
      <c r="K19" s="46"/>
      <c r="L19" s="62"/>
      <c r="M19" s="77">
        <f>SUM(M16:M18)</f>
        <v>148.75</v>
      </c>
      <c r="N19" s="271">
        <f>M19/$M$67</f>
        <v>1.1952965134330872E-2</v>
      </c>
      <c r="O19" s="3"/>
      <c r="P19" s="4"/>
      <c r="Q19" s="46">
        <f>SUM(Q16:Q18)</f>
        <v>2</v>
      </c>
      <c r="R19" s="46"/>
      <c r="S19" s="62"/>
      <c r="T19" s="77">
        <f>SUM(T16:T18)</f>
        <v>228.5</v>
      </c>
      <c r="U19" s="271">
        <f>T19/$T$67</f>
        <v>1.245484385793354E-2</v>
      </c>
      <c r="V19" s="3"/>
      <c r="W19" s="4"/>
      <c r="X19" s="46">
        <f>SUM(X16:X18)</f>
        <v>3</v>
      </c>
      <c r="Y19" s="46"/>
      <c r="Z19" s="62"/>
      <c r="AA19" s="77">
        <f>SUM(AA16:AA18)</f>
        <v>362</v>
      </c>
      <c r="AB19" s="926">
        <f>AA19/$AA$67</f>
        <v>1.779276073325263E-2</v>
      </c>
      <c r="AC19" s="3"/>
      <c r="AD19" s="4"/>
      <c r="AE19" s="46">
        <f>SUM(AE16:AE18)</f>
        <v>3</v>
      </c>
      <c r="AF19" s="46"/>
      <c r="AG19" s="62"/>
      <c r="AH19" s="77">
        <f>SUM(AH16:AH18)</f>
        <v>362</v>
      </c>
      <c r="AI19" s="271">
        <f>AH19/$AH$67</f>
        <v>1.3617875643260391E-2</v>
      </c>
      <c r="AJ19" s="3"/>
      <c r="AK19" s="4"/>
      <c r="AL19" s="46">
        <f>SUM(AL16:AL18)</f>
        <v>4</v>
      </c>
      <c r="AM19" s="46"/>
      <c r="AN19" s="62"/>
      <c r="AO19" s="77">
        <f>SUM(AO16:AO18)</f>
        <v>712</v>
      </c>
      <c r="AP19" s="271">
        <f>AO19/$AO$67</f>
        <v>2.4249043749868023E-2</v>
      </c>
      <c r="AQ19" s="3"/>
      <c r="AR19" s="4"/>
      <c r="AS19" s="46">
        <f>SUM(AS16:AS18)</f>
        <v>4</v>
      </c>
      <c r="AT19" s="46"/>
      <c r="AU19" s="62"/>
      <c r="AV19" s="77">
        <f>SUM(AV16:AV18)</f>
        <v>712</v>
      </c>
      <c r="AW19" s="271">
        <f>AV19/$AV$67</f>
        <v>2.424685883659073E-2</v>
      </c>
      <c r="AX19" s="3"/>
      <c r="AY19" s="4"/>
      <c r="AZ19" s="46">
        <f>SUM(AZ16:AZ18)</f>
        <v>4</v>
      </c>
      <c r="BA19" s="46"/>
      <c r="BB19" s="62"/>
      <c r="BC19" s="77">
        <f>SUM(BC16:BC18)</f>
        <v>712</v>
      </c>
      <c r="BD19" s="271">
        <f>BC19/$BC$67</f>
        <v>2.424465465812382E-2</v>
      </c>
      <c r="BE19" s="3"/>
      <c r="BF19" s="4"/>
      <c r="BG19" s="46">
        <f>SUM(BG16:BG18)</f>
        <v>4</v>
      </c>
      <c r="BH19" s="46"/>
      <c r="BI19" s="62"/>
      <c r="BJ19" s="77">
        <f>SUM(BJ16:BJ18)</f>
        <v>712</v>
      </c>
      <c r="BK19" s="271">
        <f>BJ19/$BJ$67</f>
        <v>2.4242431048184663E-2</v>
      </c>
      <c r="BL19" s="3"/>
      <c r="BM19" s="4"/>
      <c r="BN19" s="46">
        <f>SUM(BN16:BN18)</f>
        <v>4</v>
      </c>
      <c r="BO19" s="46"/>
      <c r="BP19" s="62"/>
      <c r="BQ19" s="77">
        <f>SUM(BQ16:BQ18)</f>
        <v>712</v>
      </c>
      <c r="BR19" s="271">
        <f>BQ19/$BQ$67</f>
        <v>2.4240187839119548E-2</v>
      </c>
      <c r="BS19" s="3"/>
      <c r="BT19" s="4"/>
      <c r="BU19" s="46">
        <f>SUM(BU16:BU18)</f>
        <v>4</v>
      </c>
      <c r="BV19" s="46"/>
      <c r="BW19" s="62"/>
      <c r="BX19" s="77">
        <f>SUM(BX16:BX18)</f>
        <v>712</v>
      </c>
      <c r="BY19" s="926">
        <f>BX19/$BX$67</f>
        <v>2.4237924861893557E-2</v>
      </c>
      <c r="BZ19" s="3"/>
      <c r="CA19" s="4"/>
      <c r="CB19" s="46">
        <f>SUM(CB16:CB18)</f>
        <v>4</v>
      </c>
      <c r="CC19" s="46"/>
      <c r="CD19" s="62"/>
      <c r="CE19" s="77">
        <f>SUM(CE16:CE18)</f>
        <v>712</v>
      </c>
      <c r="CF19" s="926">
        <f>CE19/$CE$67</f>
        <v>2.4235641946080341E-2</v>
      </c>
      <c r="CG19" s="3"/>
      <c r="CH19" s="4"/>
      <c r="CI19" s="46">
        <f>SUM(CI16:CI18)</f>
        <v>4</v>
      </c>
      <c r="CJ19" s="46"/>
      <c r="CK19" s="62"/>
      <c r="CL19" s="77">
        <f>SUM(CL16:CL18)</f>
        <v>712</v>
      </c>
      <c r="CM19" s="926">
        <f>CL19/$CL$67</f>
        <v>2.4233338919851865E-2</v>
      </c>
      <c r="CN19" s="3"/>
      <c r="CO19" s="4"/>
      <c r="CP19" s="46">
        <f>SUM(CP16:CP18)</f>
        <v>4</v>
      </c>
      <c r="CQ19" s="46"/>
      <c r="CR19" s="62"/>
      <c r="CS19" s="77">
        <f>SUM(CS16:CS18)</f>
        <v>712</v>
      </c>
      <c r="CT19" s="926">
        <f>CS19/$CS$67</f>
        <v>2.4231015609968098E-2</v>
      </c>
      <c r="CU19" s="3"/>
      <c r="CV19" s="4"/>
      <c r="CW19" s="46">
        <f>SUM(CW16:CW18)</f>
        <v>4</v>
      </c>
      <c r="CX19" s="46"/>
      <c r="CY19" s="62"/>
      <c r="CZ19" s="77">
        <f>SUM(CZ16:CZ18)</f>
        <v>712</v>
      </c>
      <c r="DA19" s="926">
        <f>CZ19/$CZ$67</f>
        <v>2.4228671841766643E-2</v>
      </c>
      <c r="DB19" s="3"/>
      <c r="DC19" s="4"/>
      <c r="DD19" s="46">
        <f>SUM(DD16:DD18)</f>
        <v>4</v>
      </c>
      <c r="DE19" s="46"/>
      <c r="DF19" s="62"/>
      <c r="DG19" s="77">
        <f>SUM(DG16:DG18)</f>
        <v>712</v>
      </c>
      <c r="DH19" s="926">
        <f>DG19/$DG$67</f>
        <v>2.4226307439152328E-2</v>
      </c>
      <c r="DI19" s="3"/>
      <c r="DJ19" s="4"/>
      <c r="DK19" s="46">
        <f>SUM(DK16:DK18)</f>
        <v>4</v>
      </c>
      <c r="DL19" s="46"/>
      <c r="DM19" s="62"/>
      <c r="DN19" s="77">
        <f>SUM(DN16:DN18)</f>
        <v>712</v>
      </c>
      <c r="DO19" s="926">
        <f>DN19/$DN$67</f>
        <v>2.422392222458673E-2</v>
      </c>
      <c r="DP19" s="3"/>
      <c r="DQ19" s="4"/>
      <c r="DR19" s="46">
        <f>SUM(DR16:DR18)</f>
        <v>4</v>
      </c>
      <c r="DS19" s="46"/>
      <c r="DT19" s="62"/>
      <c r="DU19" s="77">
        <f>SUM(DU16:DU18)</f>
        <v>712</v>
      </c>
      <c r="DV19" s="926">
        <f>DU19/$DU$67</f>
        <v>2.4221516019077644E-2</v>
      </c>
      <c r="DW19" s="3"/>
      <c r="DX19" s="4"/>
      <c r="DY19" s="46">
        <f>SUM(DY16:DY18)</f>
        <v>4</v>
      </c>
      <c r="DZ19" s="46"/>
      <c r="EA19" s="62"/>
      <c r="EB19" s="77">
        <f>SUM(EB16:EB18)</f>
        <v>712</v>
      </c>
      <c r="EC19" s="926">
        <f>EB19/$EB$67</f>
        <v>2.4219088642168519E-2</v>
      </c>
      <c r="ED19" s="3"/>
      <c r="EE19" s="4"/>
      <c r="EF19" s="46">
        <f>SUM(EF16:EF18)</f>
        <v>4</v>
      </c>
      <c r="EG19" s="46"/>
      <c r="EH19" s="62"/>
      <c r="EI19" s="77">
        <f>SUM(EI16:EI18)</f>
        <v>712</v>
      </c>
      <c r="EJ19" s="926">
        <f>EI19/$EI$67</f>
        <v>2.0112272070318588E-2</v>
      </c>
    </row>
    <row r="20" spans="1:140" s="1" customFormat="1" x14ac:dyDescent="0.2">
      <c r="C20" s="23"/>
      <c r="F20" s="23"/>
      <c r="G20" s="271"/>
      <c r="H20" s="110"/>
      <c r="N20" s="271"/>
      <c r="O20" s="110"/>
      <c r="Q20" s="23"/>
      <c r="T20" s="23"/>
      <c r="U20" s="271"/>
      <c r="V20" s="110"/>
      <c r="X20" s="23"/>
      <c r="AA20" s="23"/>
      <c r="AB20" s="271"/>
      <c r="AC20" s="110"/>
      <c r="AE20" s="58"/>
      <c r="AF20" s="942"/>
      <c r="AG20" s="62"/>
      <c r="AH20" s="43"/>
      <c r="AI20" s="271"/>
      <c r="AJ20" s="110"/>
      <c r="AL20" s="58"/>
      <c r="AM20" s="942"/>
      <c r="AN20" s="62"/>
      <c r="AO20" s="43"/>
      <c r="AP20" s="271"/>
      <c r="AQ20" s="110"/>
      <c r="AS20" s="58"/>
      <c r="AT20" s="942"/>
      <c r="AU20" s="62"/>
      <c r="AV20" s="43"/>
      <c r="AW20" s="271"/>
      <c r="AX20" s="110"/>
      <c r="AZ20" s="58"/>
      <c r="BA20" s="942"/>
      <c r="BB20" s="62"/>
      <c r="BC20" s="43"/>
      <c r="BD20" s="271"/>
      <c r="BE20" s="110"/>
      <c r="BG20" s="58"/>
      <c r="BH20" s="942"/>
      <c r="BI20" s="62"/>
      <c r="BJ20" s="43"/>
      <c r="BK20" s="271"/>
      <c r="BL20" s="110"/>
      <c r="BN20" s="58"/>
      <c r="BO20" s="942"/>
      <c r="BP20" s="62"/>
      <c r="BQ20" s="43"/>
      <c r="BR20" s="271"/>
      <c r="BS20" s="110"/>
      <c r="BU20" s="58"/>
      <c r="BV20" s="942"/>
      <c r="BW20" s="62"/>
      <c r="BX20" s="43"/>
      <c r="BY20" s="271"/>
      <c r="BZ20" s="110"/>
      <c r="CB20" s="58"/>
      <c r="CC20" s="942"/>
      <c r="CD20" s="62"/>
      <c r="CE20" s="43"/>
      <c r="CF20" s="271"/>
      <c r="CG20" s="110"/>
      <c r="CI20" s="58"/>
      <c r="CJ20" s="942"/>
      <c r="CK20" s="62"/>
      <c r="CL20" s="43"/>
      <c r="CM20" s="271"/>
      <c r="CN20" s="110"/>
      <c r="CP20" s="58"/>
      <c r="CQ20" s="942"/>
      <c r="CR20" s="62"/>
      <c r="CS20" s="43"/>
      <c r="CT20" s="271"/>
      <c r="CU20" s="110"/>
      <c r="CW20" s="58"/>
      <c r="CX20" s="942"/>
      <c r="CY20" s="62"/>
      <c r="CZ20" s="43"/>
      <c r="DA20" s="271"/>
      <c r="DB20" s="110"/>
      <c r="DD20" s="58"/>
      <c r="DE20" s="942"/>
      <c r="DF20" s="62"/>
      <c r="DG20" s="43"/>
      <c r="DH20" s="271"/>
      <c r="DI20" s="110"/>
      <c r="DK20" s="58"/>
      <c r="DL20" s="942"/>
      <c r="DM20" s="62"/>
      <c r="DN20" s="43"/>
      <c r="DO20" s="271"/>
      <c r="DP20" s="110"/>
      <c r="DR20" s="58"/>
      <c r="DS20" s="942"/>
      <c r="DT20" s="62"/>
      <c r="DU20" s="43"/>
      <c r="DV20" s="271"/>
      <c r="DW20" s="110"/>
      <c r="DY20" s="58"/>
      <c r="DZ20" s="942"/>
      <c r="EA20" s="62"/>
      <c r="EB20" s="43"/>
      <c r="EC20" s="271"/>
      <c r="ED20" s="110"/>
      <c r="EF20" s="58"/>
      <c r="EG20" s="942"/>
      <c r="EH20" s="62"/>
      <c r="EI20" s="43"/>
      <c r="EJ20" s="271"/>
    </row>
    <row r="21" spans="1:140" s="1" customFormat="1" x14ac:dyDescent="0.2">
      <c r="A21" s="110" t="str">
        <f>'Variante Vorgaben'!$A$130</f>
        <v>Fungizide</v>
      </c>
      <c r="C21" s="23"/>
      <c r="F21" s="60">
        <f>'Variante Vorgaben'!B130*(1+Eingabeseite!$C$26)</f>
        <v>200</v>
      </c>
      <c r="G21" s="271"/>
      <c r="H21" s="110" t="str">
        <f>'Variante Vorgaben'!$A$130</f>
        <v>Fungizide</v>
      </c>
      <c r="J21" s="23"/>
      <c r="M21" s="60">
        <f>'Variante Vorgaben'!C130*(1+Eingabeseite!$C$26)</f>
        <v>250</v>
      </c>
      <c r="N21" s="271"/>
      <c r="O21" s="110" t="str">
        <f>'Variante Vorgaben'!$A$130</f>
        <v>Fungizide</v>
      </c>
      <c r="Q21" s="23"/>
      <c r="T21" s="60">
        <f>'Variante Vorgaben'!D130*(1+Eingabeseite!$C$26)</f>
        <v>480</v>
      </c>
      <c r="U21" s="271"/>
      <c r="V21" s="110" t="str">
        <f>'Variante Vorgaben'!$A$130</f>
        <v>Fungizide</v>
      </c>
      <c r="X21" s="23"/>
      <c r="AA21" s="60">
        <f>'Variante Vorgaben'!E130*(1+Eingabeseite!$C$26)</f>
        <v>870</v>
      </c>
      <c r="AB21" s="271"/>
      <c r="AC21" s="110" t="str">
        <f>'Variante Vorgaben'!$A$130</f>
        <v>Fungizide</v>
      </c>
      <c r="AE21" s="23"/>
      <c r="AH21" s="60">
        <f>'Variante Vorgaben'!$F$130*(1+Eingabeseite!$C$26)</f>
        <v>1100</v>
      </c>
      <c r="AI21" s="271">
        <f t="shared" ref="AI21:AI26" si="0">AH21/$AH$67</f>
        <v>4.138028510382992E-2</v>
      </c>
      <c r="AJ21" s="110" t="str">
        <f>'Variante Vorgaben'!$A$130</f>
        <v>Fungizide</v>
      </c>
      <c r="AL21" s="23"/>
      <c r="AO21" s="60">
        <f>'Variante Vorgaben'!$F$130*(1+Eingabeseite!$C$26)</f>
        <v>1100</v>
      </c>
      <c r="AP21" s="271">
        <f t="shared" ref="AP21:AP26" si="1">AO21/$AH$67</f>
        <v>4.138028510382992E-2</v>
      </c>
      <c r="AQ21" s="110" t="str">
        <f>'Variante Vorgaben'!$A$130</f>
        <v>Fungizide</v>
      </c>
      <c r="AS21" s="23"/>
      <c r="AV21" s="60">
        <f>'Variante Vorgaben'!$F$130*(1+Eingabeseite!$C$26)</f>
        <v>1100</v>
      </c>
      <c r="AW21" s="271">
        <f t="shared" ref="AW21:AW26" si="2">AV21/$AH$67</f>
        <v>4.138028510382992E-2</v>
      </c>
      <c r="AX21" s="110" t="str">
        <f>'Variante Vorgaben'!$A$130</f>
        <v>Fungizide</v>
      </c>
      <c r="AZ21" s="23"/>
      <c r="BC21" s="60">
        <f>'Variante Vorgaben'!$F$130*(1+Eingabeseite!$C$26)</f>
        <v>1100</v>
      </c>
      <c r="BD21" s="271">
        <f t="shared" ref="BD21:BD26" si="3">BC21/$AH$67</f>
        <v>4.138028510382992E-2</v>
      </c>
      <c r="BE21" s="110" t="str">
        <f>'Variante Vorgaben'!$A$130</f>
        <v>Fungizide</v>
      </c>
      <c r="BG21" s="23"/>
      <c r="BJ21" s="60">
        <f>'Variante Vorgaben'!$F$130*(1+Eingabeseite!$C$26)</f>
        <v>1100</v>
      </c>
      <c r="BK21" s="271">
        <f t="shared" ref="BK21:BK26" si="4">BJ21/$AH$67</f>
        <v>4.138028510382992E-2</v>
      </c>
      <c r="BL21" s="110" t="str">
        <f>'Variante Vorgaben'!$A$130</f>
        <v>Fungizide</v>
      </c>
      <c r="BN21" s="23"/>
      <c r="BQ21" s="60">
        <f>'Variante Vorgaben'!$F$130*(1+Eingabeseite!$C$26)</f>
        <v>1100</v>
      </c>
      <c r="BR21" s="271">
        <f t="shared" ref="BR21:BR26" si="5">BQ21/$AH$67</f>
        <v>4.138028510382992E-2</v>
      </c>
      <c r="BS21" s="110" t="str">
        <f>'Variante Vorgaben'!$A$130</f>
        <v>Fungizide</v>
      </c>
      <c r="BU21" s="23"/>
      <c r="BX21" s="60">
        <f>'Variante Vorgaben'!$F$130*(1+Eingabeseite!$C$26)</f>
        <v>1100</v>
      </c>
      <c r="BY21" s="271">
        <f t="shared" ref="BY21:BY26" si="6">BX21/$AH$67</f>
        <v>4.138028510382992E-2</v>
      </c>
      <c r="BZ21" s="110" t="str">
        <f>'Variante Vorgaben'!$A$130</f>
        <v>Fungizide</v>
      </c>
      <c r="CB21" s="23"/>
      <c r="CE21" s="60">
        <f>'Variante Vorgaben'!$F$130*(1+Eingabeseite!$C$26)</f>
        <v>1100</v>
      </c>
      <c r="CF21" s="271">
        <f t="shared" ref="CF21:CF26" si="7">CE21/$AH$67</f>
        <v>4.138028510382992E-2</v>
      </c>
      <c r="CG21" s="110" t="str">
        <f>'Variante Vorgaben'!$A$130</f>
        <v>Fungizide</v>
      </c>
      <c r="CI21" s="23"/>
      <c r="CL21" s="60">
        <f>'Variante Vorgaben'!$F$130*(1+Eingabeseite!$C$26)</f>
        <v>1100</v>
      </c>
      <c r="CM21" s="271">
        <f t="shared" ref="CM21:CM26" si="8">CL21/$AH$67</f>
        <v>4.138028510382992E-2</v>
      </c>
      <c r="CN21" s="110" t="str">
        <f>'Variante Vorgaben'!$A$130</f>
        <v>Fungizide</v>
      </c>
      <c r="CP21" s="23"/>
      <c r="CS21" s="60">
        <f>'Variante Vorgaben'!$F$130*(1+Eingabeseite!$C$26)</f>
        <v>1100</v>
      </c>
      <c r="CT21" s="271">
        <f t="shared" ref="CT21:CT26" si="9">CS21/$AH$67</f>
        <v>4.138028510382992E-2</v>
      </c>
      <c r="CU21" s="110" t="str">
        <f>'Variante Vorgaben'!$A$130</f>
        <v>Fungizide</v>
      </c>
      <c r="CW21" s="23"/>
      <c r="CZ21" s="60">
        <f>'Variante Vorgaben'!$F$130*(1+Eingabeseite!$C$26)</f>
        <v>1100</v>
      </c>
      <c r="DA21" s="271">
        <f t="shared" ref="DA21:DA26" si="10">CZ21/$AH$67</f>
        <v>4.138028510382992E-2</v>
      </c>
      <c r="DB21" s="110" t="str">
        <f>'Variante Vorgaben'!$A$130</f>
        <v>Fungizide</v>
      </c>
      <c r="DD21" s="23"/>
      <c r="DG21" s="60">
        <f>'Variante Vorgaben'!$F$130*(1+Eingabeseite!$C$26)</f>
        <v>1100</v>
      </c>
      <c r="DH21" s="271">
        <f t="shared" ref="DH21:DH26" si="11">DG21/$AH$67</f>
        <v>4.138028510382992E-2</v>
      </c>
      <c r="DI21" s="110" t="str">
        <f>'Variante Vorgaben'!$A$130</f>
        <v>Fungizide</v>
      </c>
      <c r="DK21" s="23"/>
      <c r="DN21" s="60">
        <f>'Variante Vorgaben'!$F$130*(1+Eingabeseite!$C$26)</f>
        <v>1100</v>
      </c>
      <c r="DO21" s="271">
        <f t="shared" ref="DO21:DO26" si="12">DN21/$AH$67</f>
        <v>4.138028510382992E-2</v>
      </c>
      <c r="DP21" s="110" t="str">
        <f>'Variante Vorgaben'!$A$130</f>
        <v>Fungizide</v>
      </c>
      <c r="DR21" s="23"/>
      <c r="DU21" s="60">
        <f>'Variante Vorgaben'!$F$130*(1+Eingabeseite!$C$26)</f>
        <v>1100</v>
      </c>
      <c r="DV21" s="271">
        <f t="shared" ref="DV21:DV26" si="13">DU21/$AH$67</f>
        <v>4.138028510382992E-2</v>
      </c>
      <c r="DW21" s="110" t="str">
        <f>'Variante Vorgaben'!$A$130</f>
        <v>Fungizide</v>
      </c>
      <c r="DY21" s="23"/>
      <c r="EB21" s="60">
        <f>'Variante Vorgaben'!$F$130*(1+Eingabeseite!$C$26)</f>
        <v>1100</v>
      </c>
      <c r="EC21" s="271">
        <f t="shared" ref="EC21:EC26" si="14">EB21/$AH$67</f>
        <v>4.138028510382992E-2</v>
      </c>
      <c r="ED21" s="110" t="str">
        <f>'Variante Vorgaben'!$A$130</f>
        <v>Fungizide</v>
      </c>
      <c r="EF21" s="23"/>
      <c r="EI21" s="60">
        <f>'Variante Vorgaben'!$F$130*(1+Eingabeseite!$C$26)</f>
        <v>1100</v>
      </c>
      <c r="EJ21" s="271">
        <f t="shared" ref="EJ21:EJ26" si="15">EI21/$AH$67</f>
        <v>4.138028510382992E-2</v>
      </c>
    </row>
    <row r="22" spans="1:140" s="1" customFormat="1" x14ac:dyDescent="0.2">
      <c r="A22" s="110" t="str">
        <f>'Variante Vorgaben'!$A$131</f>
        <v>Feuerbrandbehandlungen</v>
      </c>
      <c r="C22" s="23"/>
      <c r="F22" s="60">
        <f>'Variante Vorgaben'!B131*(1+Eingabeseite!$C$26)</f>
        <v>0</v>
      </c>
      <c r="G22" s="271"/>
      <c r="H22" s="110" t="str">
        <f>'Variante Vorgaben'!$A$131</f>
        <v>Feuerbrandbehandlungen</v>
      </c>
      <c r="J22" s="23"/>
      <c r="M22" s="60">
        <f>'Variante Vorgaben'!C131*(1+Eingabeseite!$C$26)</f>
        <v>500</v>
      </c>
      <c r="N22" s="271"/>
      <c r="O22" s="110" t="str">
        <f>'Variante Vorgaben'!$A$131</f>
        <v>Feuerbrandbehandlungen</v>
      </c>
      <c r="Q22" s="23"/>
      <c r="T22" s="60">
        <f>'Variante Vorgaben'!D131*(1+Eingabeseite!$C$26)</f>
        <v>500</v>
      </c>
      <c r="U22" s="271"/>
      <c r="V22" s="110" t="str">
        <f>'Variante Vorgaben'!$A$131</f>
        <v>Feuerbrandbehandlungen</v>
      </c>
      <c r="X22" s="23"/>
      <c r="AA22" s="60">
        <f>'Variante Vorgaben'!E131*(1+Eingabeseite!$C$26)</f>
        <v>500</v>
      </c>
      <c r="AB22" s="271"/>
      <c r="AC22" s="110" t="str">
        <f>'Variante Vorgaben'!$A$131</f>
        <v>Feuerbrandbehandlungen</v>
      </c>
      <c r="AE22" s="23"/>
      <c r="AH22" s="60">
        <f>'Variante Vorgaben'!$F$131*(1+Eingabeseite!$C$26)</f>
        <v>550</v>
      </c>
      <c r="AI22" s="271">
        <f t="shared" si="0"/>
        <v>2.069014255191496E-2</v>
      </c>
      <c r="AJ22" s="110" t="str">
        <f>'Variante Vorgaben'!$A$131</f>
        <v>Feuerbrandbehandlungen</v>
      </c>
      <c r="AL22" s="23"/>
      <c r="AO22" s="60">
        <f>'Variante Vorgaben'!$F$131*(1+Eingabeseite!$C$26)</f>
        <v>550</v>
      </c>
      <c r="AP22" s="271">
        <f t="shared" si="1"/>
        <v>2.069014255191496E-2</v>
      </c>
      <c r="AQ22" s="110" t="str">
        <f>'Variante Vorgaben'!$A$131</f>
        <v>Feuerbrandbehandlungen</v>
      </c>
      <c r="AS22" s="23"/>
      <c r="AV22" s="60">
        <f>'Variante Vorgaben'!$F$131*(1+Eingabeseite!$C$26)</f>
        <v>550</v>
      </c>
      <c r="AW22" s="271">
        <f t="shared" si="2"/>
        <v>2.069014255191496E-2</v>
      </c>
      <c r="AX22" s="110" t="str">
        <f>'Variante Vorgaben'!$A$131</f>
        <v>Feuerbrandbehandlungen</v>
      </c>
      <c r="AZ22" s="23"/>
      <c r="BC22" s="60">
        <f>'Variante Vorgaben'!$F$131*(1+Eingabeseite!$C$26)</f>
        <v>550</v>
      </c>
      <c r="BD22" s="271">
        <f t="shared" si="3"/>
        <v>2.069014255191496E-2</v>
      </c>
      <c r="BE22" s="110" t="str">
        <f>'Variante Vorgaben'!$A$131</f>
        <v>Feuerbrandbehandlungen</v>
      </c>
      <c r="BG22" s="23"/>
      <c r="BJ22" s="60">
        <f>'Variante Vorgaben'!$F$131*(1+Eingabeseite!$C$26)</f>
        <v>550</v>
      </c>
      <c r="BK22" s="271">
        <f t="shared" si="4"/>
        <v>2.069014255191496E-2</v>
      </c>
      <c r="BL22" s="110" t="str">
        <f>'Variante Vorgaben'!$A$131</f>
        <v>Feuerbrandbehandlungen</v>
      </c>
      <c r="BN22" s="23"/>
      <c r="BQ22" s="60">
        <f>'Variante Vorgaben'!$F$131*(1+Eingabeseite!$C$26)</f>
        <v>550</v>
      </c>
      <c r="BR22" s="271">
        <f t="shared" si="5"/>
        <v>2.069014255191496E-2</v>
      </c>
      <c r="BS22" s="110" t="str">
        <f>'Variante Vorgaben'!$A$131</f>
        <v>Feuerbrandbehandlungen</v>
      </c>
      <c r="BU22" s="23"/>
      <c r="BX22" s="60">
        <f>'Variante Vorgaben'!$F$131*(1+Eingabeseite!$C$26)</f>
        <v>550</v>
      </c>
      <c r="BY22" s="271">
        <f t="shared" si="6"/>
        <v>2.069014255191496E-2</v>
      </c>
      <c r="BZ22" s="110" t="str">
        <f>'Variante Vorgaben'!$A$131</f>
        <v>Feuerbrandbehandlungen</v>
      </c>
      <c r="CB22" s="23"/>
      <c r="CE22" s="60">
        <f>'Variante Vorgaben'!$F$131*(1+Eingabeseite!$C$26)</f>
        <v>550</v>
      </c>
      <c r="CF22" s="271">
        <f t="shared" si="7"/>
        <v>2.069014255191496E-2</v>
      </c>
      <c r="CG22" s="110" t="str">
        <f>'Variante Vorgaben'!$A$131</f>
        <v>Feuerbrandbehandlungen</v>
      </c>
      <c r="CI22" s="23"/>
      <c r="CL22" s="60">
        <f>'Variante Vorgaben'!$F$131*(1+Eingabeseite!$C$26)</f>
        <v>550</v>
      </c>
      <c r="CM22" s="271">
        <f t="shared" si="8"/>
        <v>2.069014255191496E-2</v>
      </c>
      <c r="CN22" s="110" t="str">
        <f>'Variante Vorgaben'!$A$131</f>
        <v>Feuerbrandbehandlungen</v>
      </c>
      <c r="CP22" s="23"/>
      <c r="CS22" s="60">
        <f>'Variante Vorgaben'!$F$131*(1+Eingabeseite!$C$26)</f>
        <v>550</v>
      </c>
      <c r="CT22" s="271">
        <f t="shared" si="9"/>
        <v>2.069014255191496E-2</v>
      </c>
      <c r="CU22" s="110" t="str">
        <f>'Variante Vorgaben'!$A$131</f>
        <v>Feuerbrandbehandlungen</v>
      </c>
      <c r="CW22" s="23"/>
      <c r="CZ22" s="60">
        <f>'Variante Vorgaben'!$F$131*(1+Eingabeseite!$C$26)</f>
        <v>550</v>
      </c>
      <c r="DA22" s="271">
        <f t="shared" si="10"/>
        <v>2.069014255191496E-2</v>
      </c>
      <c r="DB22" s="110" t="str">
        <f>'Variante Vorgaben'!$A$131</f>
        <v>Feuerbrandbehandlungen</v>
      </c>
      <c r="DD22" s="23"/>
      <c r="DG22" s="60">
        <f>'Variante Vorgaben'!$F$131*(1+Eingabeseite!$C$26)</f>
        <v>550</v>
      </c>
      <c r="DH22" s="271">
        <f t="shared" si="11"/>
        <v>2.069014255191496E-2</v>
      </c>
      <c r="DI22" s="110" t="str">
        <f>'Variante Vorgaben'!$A$131</f>
        <v>Feuerbrandbehandlungen</v>
      </c>
      <c r="DK22" s="23"/>
      <c r="DN22" s="60">
        <f>'Variante Vorgaben'!$F$131*(1+Eingabeseite!$C$26)</f>
        <v>550</v>
      </c>
      <c r="DO22" s="271">
        <f t="shared" si="12"/>
        <v>2.069014255191496E-2</v>
      </c>
      <c r="DP22" s="110" t="str">
        <f>'Variante Vorgaben'!$A$131</f>
        <v>Feuerbrandbehandlungen</v>
      </c>
      <c r="DR22" s="23"/>
      <c r="DU22" s="60">
        <f>'Variante Vorgaben'!$F$131*(1+Eingabeseite!$C$26)</f>
        <v>550</v>
      </c>
      <c r="DV22" s="271">
        <f t="shared" si="13"/>
        <v>2.069014255191496E-2</v>
      </c>
      <c r="DW22" s="110" t="str">
        <f>'Variante Vorgaben'!$A$131</f>
        <v>Feuerbrandbehandlungen</v>
      </c>
      <c r="DY22" s="23"/>
      <c r="EB22" s="60">
        <f>'Variante Vorgaben'!$F$131*(1+Eingabeseite!$C$26)</f>
        <v>550</v>
      </c>
      <c r="EC22" s="271">
        <f t="shared" si="14"/>
        <v>2.069014255191496E-2</v>
      </c>
      <c r="ED22" s="110" t="str">
        <f>'Variante Vorgaben'!$A$131</f>
        <v>Feuerbrandbehandlungen</v>
      </c>
      <c r="EF22" s="23"/>
      <c r="EI22" s="60">
        <f>'Variante Vorgaben'!$F$131*(1+Eingabeseite!$C$26)</f>
        <v>550</v>
      </c>
      <c r="EJ22" s="271">
        <f t="shared" si="15"/>
        <v>2.069014255191496E-2</v>
      </c>
    </row>
    <row r="23" spans="1:140" s="1" customFormat="1" x14ac:dyDescent="0.2">
      <c r="A23" s="110" t="str">
        <f>'Variante Vorgaben'!$A$132</f>
        <v>Insektizide</v>
      </c>
      <c r="C23" s="23"/>
      <c r="F23" s="60">
        <f>'Variante Vorgaben'!B132*(1+Eingabeseite!$C$26)</f>
        <v>15</v>
      </c>
      <c r="G23" s="271"/>
      <c r="H23" s="110" t="str">
        <f>'Variante Vorgaben'!$A$132</f>
        <v>Insektizide</v>
      </c>
      <c r="J23" s="23"/>
      <c r="M23" s="60">
        <f>'Variante Vorgaben'!C132*(1+Eingabeseite!$C$26)</f>
        <v>30</v>
      </c>
      <c r="N23" s="271"/>
      <c r="O23" s="110" t="str">
        <f>'Variante Vorgaben'!$A$132</f>
        <v>Insektizide</v>
      </c>
      <c r="Q23" s="23"/>
      <c r="T23" s="60">
        <f>'Variante Vorgaben'!D132*(1+Eingabeseite!$C$26)</f>
        <v>460</v>
      </c>
      <c r="U23" s="271"/>
      <c r="V23" s="110" t="str">
        <f>'Variante Vorgaben'!$A$132</f>
        <v>Insektizide</v>
      </c>
      <c r="X23" s="23"/>
      <c r="AA23" s="60">
        <f>'Variante Vorgaben'!E132*(1+Eingabeseite!$C$26)</f>
        <v>500</v>
      </c>
      <c r="AB23" s="271"/>
      <c r="AC23" s="110" t="str">
        <f>'Variante Vorgaben'!$A$132</f>
        <v>Insektizide</v>
      </c>
      <c r="AE23" s="23"/>
      <c r="AH23" s="60">
        <f>'Variante Vorgaben'!$F$132*(1+Eingabeseite!$C$26)</f>
        <v>2020</v>
      </c>
      <c r="AI23" s="271">
        <f t="shared" si="0"/>
        <v>7.5989250827033117E-2</v>
      </c>
      <c r="AJ23" s="110" t="str">
        <f>'Variante Vorgaben'!$A$132</f>
        <v>Insektizide</v>
      </c>
      <c r="AL23" s="23"/>
      <c r="AO23" s="60">
        <f>'Variante Vorgaben'!$F$132*(1+Eingabeseite!$C$26)</f>
        <v>2020</v>
      </c>
      <c r="AP23" s="271">
        <f t="shared" si="1"/>
        <v>7.5989250827033117E-2</v>
      </c>
      <c r="AQ23" s="110" t="str">
        <f>'Variante Vorgaben'!$A$132</f>
        <v>Insektizide</v>
      </c>
      <c r="AS23" s="23"/>
      <c r="AV23" s="60">
        <f>'Variante Vorgaben'!$F$132*(1+Eingabeseite!$C$26)</f>
        <v>2020</v>
      </c>
      <c r="AW23" s="271">
        <f t="shared" si="2"/>
        <v>7.5989250827033117E-2</v>
      </c>
      <c r="AX23" s="110" t="str">
        <f>'Variante Vorgaben'!$A$132</f>
        <v>Insektizide</v>
      </c>
      <c r="AZ23" s="23"/>
      <c r="BC23" s="60">
        <f>'Variante Vorgaben'!$F$132*(1+Eingabeseite!$C$26)</f>
        <v>2020</v>
      </c>
      <c r="BD23" s="271">
        <f t="shared" si="3"/>
        <v>7.5989250827033117E-2</v>
      </c>
      <c r="BE23" s="110" t="str">
        <f>'Variante Vorgaben'!$A$132</f>
        <v>Insektizide</v>
      </c>
      <c r="BG23" s="23"/>
      <c r="BJ23" s="60">
        <f>'Variante Vorgaben'!$F$132*(1+Eingabeseite!$C$26)</f>
        <v>2020</v>
      </c>
      <c r="BK23" s="271">
        <f t="shared" si="4"/>
        <v>7.5989250827033117E-2</v>
      </c>
      <c r="BL23" s="110" t="str">
        <f>'Variante Vorgaben'!$A$132</f>
        <v>Insektizide</v>
      </c>
      <c r="BN23" s="23"/>
      <c r="BQ23" s="60">
        <f>'Variante Vorgaben'!$F$132*(1+Eingabeseite!$C$26)</f>
        <v>2020</v>
      </c>
      <c r="BR23" s="271">
        <f t="shared" si="5"/>
        <v>7.5989250827033117E-2</v>
      </c>
      <c r="BS23" s="110" t="str">
        <f>'Variante Vorgaben'!$A$132</f>
        <v>Insektizide</v>
      </c>
      <c r="BU23" s="23"/>
      <c r="BX23" s="60">
        <f>'Variante Vorgaben'!$F$132*(1+Eingabeseite!$C$26)</f>
        <v>2020</v>
      </c>
      <c r="BY23" s="271">
        <f t="shared" si="6"/>
        <v>7.5989250827033117E-2</v>
      </c>
      <c r="BZ23" s="110" t="str">
        <f>'Variante Vorgaben'!$A$132</f>
        <v>Insektizide</v>
      </c>
      <c r="CB23" s="23"/>
      <c r="CE23" s="60">
        <f>'Variante Vorgaben'!$F$132*(1+Eingabeseite!$C$26)</f>
        <v>2020</v>
      </c>
      <c r="CF23" s="271">
        <f t="shared" si="7"/>
        <v>7.5989250827033117E-2</v>
      </c>
      <c r="CG23" s="110" t="str">
        <f>'Variante Vorgaben'!$A$132</f>
        <v>Insektizide</v>
      </c>
      <c r="CI23" s="23"/>
      <c r="CL23" s="60">
        <f>'Variante Vorgaben'!$F$132*(1+Eingabeseite!$C$26)</f>
        <v>2020</v>
      </c>
      <c r="CM23" s="271">
        <f t="shared" si="8"/>
        <v>7.5989250827033117E-2</v>
      </c>
      <c r="CN23" s="110" t="str">
        <f>'Variante Vorgaben'!$A$132</f>
        <v>Insektizide</v>
      </c>
      <c r="CP23" s="23"/>
      <c r="CS23" s="60">
        <f>'Variante Vorgaben'!$F$132*(1+Eingabeseite!$C$26)</f>
        <v>2020</v>
      </c>
      <c r="CT23" s="271">
        <f t="shared" si="9"/>
        <v>7.5989250827033117E-2</v>
      </c>
      <c r="CU23" s="110" t="str">
        <f>'Variante Vorgaben'!$A$132</f>
        <v>Insektizide</v>
      </c>
      <c r="CW23" s="23"/>
      <c r="CZ23" s="60">
        <f>'Variante Vorgaben'!$F$132*(1+Eingabeseite!$C$26)</f>
        <v>2020</v>
      </c>
      <c r="DA23" s="271">
        <f t="shared" si="10"/>
        <v>7.5989250827033117E-2</v>
      </c>
      <c r="DB23" s="110" t="str">
        <f>'Variante Vorgaben'!$A$132</f>
        <v>Insektizide</v>
      </c>
      <c r="DD23" s="23"/>
      <c r="DG23" s="60">
        <f>'Variante Vorgaben'!$F$132*(1+Eingabeseite!$C$26)</f>
        <v>2020</v>
      </c>
      <c r="DH23" s="271">
        <f t="shared" si="11"/>
        <v>7.5989250827033117E-2</v>
      </c>
      <c r="DI23" s="110" t="str">
        <f>'Variante Vorgaben'!$A$132</f>
        <v>Insektizide</v>
      </c>
      <c r="DK23" s="23"/>
      <c r="DN23" s="60">
        <f>'Variante Vorgaben'!$F$132*(1+Eingabeseite!$C$26)</f>
        <v>2020</v>
      </c>
      <c r="DO23" s="271">
        <f t="shared" si="12"/>
        <v>7.5989250827033117E-2</v>
      </c>
      <c r="DP23" s="110" t="str">
        <f>'Variante Vorgaben'!$A$132</f>
        <v>Insektizide</v>
      </c>
      <c r="DR23" s="23"/>
      <c r="DU23" s="60">
        <f>'Variante Vorgaben'!$F$132*(1+Eingabeseite!$C$26)</f>
        <v>2020</v>
      </c>
      <c r="DV23" s="271">
        <f t="shared" si="13"/>
        <v>7.5989250827033117E-2</v>
      </c>
      <c r="DW23" s="110" t="str">
        <f>'Variante Vorgaben'!$A$132</f>
        <v>Insektizide</v>
      </c>
      <c r="DY23" s="23"/>
      <c r="EB23" s="60">
        <f>'Variante Vorgaben'!$F$132*(1+Eingabeseite!$C$26)</f>
        <v>2020</v>
      </c>
      <c r="EC23" s="271">
        <f t="shared" si="14"/>
        <v>7.5989250827033117E-2</v>
      </c>
      <c r="ED23" s="110" t="str">
        <f>'Variante Vorgaben'!$A$132</f>
        <v>Insektizide</v>
      </c>
      <c r="EF23" s="23"/>
      <c r="EI23" s="60">
        <f>'Variante Vorgaben'!$F$132*(1+Eingabeseite!$C$26)</f>
        <v>2020</v>
      </c>
      <c r="EJ23" s="271">
        <f t="shared" si="15"/>
        <v>7.5989250827033117E-2</v>
      </c>
    </row>
    <row r="24" spans="1:140" s="1" customFormat="1" x14ac:dyDescent="0.2">
      <c r="A24" s="110" t="str">
        <f>'Variante Vorgaben'!$A$133</f>
        <v>Herbizide</v>
      </c>
      <c r="C24" s="23"/>
      <c r="F24" s="60">
        <f>'Variante Vorgaben'!B133*(1+Eingabeseite!$C$26)</f>
        <v>110</v>
      </c>
      <c r="G24" s="271"/>
      <c r="H24" s="110" t="str">
        <f>'Variante Vorgaben'!$A$133</f>
        <v>Herbizide</v>
      </c>
      <c r="J24" s="23"/>
      <c r="M24" s="60">
        <f>'Variante Vorgaben'!C133*(1+Eingabeseite!$C$26)</f>
        <v>110</v>
      </c>
      <c r="N24" s="271"/>
      <c r="O24" s="110" t="str">
        <f>'Variante Vorgaben'!$A$133</f>
        <v>Herbizide</v>
      </c>
      <c r="Q24" s="23"/>
      <c r="T24" s="60">
        <f>'Variante Vorgaben'!D133*(1+Eingabeseite!$C$26)</f>
        <v>110</v>
      </c>
      <c r="U24" s="271"/>
      <c r="V24" s="110" t="str">
        <f>'Variante Vorgaben'!$A$133</f>
        <v>Herbizide</v>
      </c>
      <c r="X24" s="23"/>
      <c r="AA24" s="60">
        <f>'Variante Vorgaben'!E133*(1+Eingabeseite!$C$26)</f>
        <v>110</v>
      </c>
      <c r="AB24" s="271"/>
      <c r="AC24" s="110" t="str">
        <f>'Variante Vorgaben'!$A$133</f>
        <v>Herbizide</v>
      </c>
      <c r="AE24" s="23"/>
      <c r="AH24" s="60">
        <f>'Variante Vorgaben'!$F$133*(1+Eingabeseite!$C$26)</f>
        <v>570</v>
      </c>
      <c r="AI24" s="271">
        <f t="shared" si="0"/>
        <v>2.1442511371984593E-2</v>
      </c>
      <c r="AJ24" s="110" t="str">
        <f>'Variante Vorgaben'!$A$133</f>
        <v>Herbizide</v>
      </c>
      <c r="AL24" s="23"/>
      <c r="AO24" s="60">
        <f>'Variante Vorgaben'!$F$133*(1+Eingabeseite!$C$26)</f>
        <v>570</v>
      </c>
      <c r="AP24" s="271">
        <f t="shared" si="1"/>
        <v>2.1442511371984593E-2</v>
      </c>
      <c r="AQ24" s="110" t="str">
        <f>'Variante Vorgaben'!$A$133</f>
        <v>Herbizide</v>
      </c>
      <c r="AS24" s="23"/>
      <c r="AV24" s="60">
        <f>'Variante Vorgaben'!$F$133*(1+Eingabeseite!$C$26)</f>
        <v>570</v>
      </c>
      <c r="AW24" s="271">
        <f t="shared" si="2"/>
        <v>2.1442511371984593E-2</v>
      </c>
      <c r="AX24" s="110" t="str">
        <f>'Variante Vorgaben'!$A$133</f>
        <v>Herbizide</v>
      </c>
      <c r="AZ24" s="23"/>
      <c r="BC24" s="60">
        <f>'Variante Vorgaben'!$F$133*(1+Eingabeseite!$C$26)</f>
        <v>570</v>
      </c>
      <c r="BD24" s="271">
        <f t="shared" si="3"/>
        <v>2.1442511371984593E-2</v>
      </c>
      <c r="BE24" s="110" t="str">
        <f>'Variante Vorgaben'!$A$133</f>
        <v>Herbizide</v>
      </c>
      <c r="BG24" s="23"/>
      <c r="BJ24" s="60">
        <f>'Variante Vorgaben'!$F$133*(1+Eingabeseite!$C$26)</f>
        <v>570</v>
      </c>
      <c r="BK24" s="271">
        <f t="shared" si="4"/>
        <v>2.1442511371984593E-2</v>
      </c>
      <c r="BL24" s="110" t="str">
        <f>'Variante Vorgaben'!$A$133</f>
        <v>Herbizide</v>
      </c>
      <c r="BN24" s="23"/>
      <c r="BQ24" s="60">
        <f>'Variante Vorgaben'!$F$133*(1+Eingabeseite!$C$26)</f>
        <v>570</v>
      </c>
      <c r="BR24" s="271">
        <f t="shared" si="5"/>
        <v>2.1442511371984593E-2</v>
      </c>
      <c r="BS24" s="110" t="str">
        <f>'Variante Vorgaben'!$A$133</f>
        <v>Herbizide</v>
      </c>
      <c r="BU24" s="23"/>
      <c r="BX24" s="60">
        <f>'Variante Vorgaben'!$F$133*(1+Eingabeseite!$C$26)</f>
        <v>570</v>
      </c>
      <c r="BY24" s="271">
        <f t="shared" si="6"/>
        <v>2.1442511371984593E-2</v>
      </c>
      <c r="BZ24" s="110" t="str">
        <f>'Variante Vorgaben'!$A$133</f>
        <v>Herbizide</v>
      </c>
      <c r="CB24" s="23"/>
      <c r="CE24" s="60">
        <f>'Variante Vorgaben'!$F$133*(1+Eingabeseite!$C$26)</f>
        <v>570</v>
      </c>
      <c r="CF24" s="271">
        <f t="shared" si="7"/>
        <v>2.1442511371984593E-2</v>
      </c>
      <c r="CG24" s="110" t="str">
        <f>'Variante Vorgaben'!$A$133</f>
        <v>Herbizide</v>
      </c>
      <c r="CI24" s="23"/>
      <c r="CL24" s="60">
        <f>'Variante Vorgaben'!$F$133*(1+Eingabeseite!$C$26)</f>
        <v>570</v>
      </c>
      <c r="CM24" s="271">
        <f t="shared" si="8"/>
        <v>2.1442511371984593E-2</v>
      </c>
      <c r="CN24" s="110" t="str">
        <f>'Variante Vorgaben'!$A$133</f>
        <v>Herbizide</v>
      </c>
      <c r="CP24" s="23"/>
      <c r="CS24" s="60">
        <f>'Variante Vorgaben'!$F$133*(1+Eingabeseite!$C$26)</f>
        <v>570</v>
      </c>
      <c r="CT24" s="271">
        <f t="shared" si="9"/>
        <v>2.1442511371984593E-2</v>
      </c>
      <c r="CU24" s="110" t="str">
        <f>'Variante Vorgaben'!$A$133</f>
        <v>Herbizide</v>
      </c>
      <c r="CW24" s="23"/>
      <c r="CZ24" s="60">
        <f>'Variante Vorgaben'!$F$133*(1+Eingabeseite!$C$26)</f>
        <v>570</v>
      </c>
      <c r="DA24" s="271">
        <f t="shared" si="10"/>
        <v>2.1442511371984593E-2</v>
      </c>
      <c r="DB24" s="110" t="str">
        <f>'Variante Vorgaben'!$A$133</f>
        <v>Herbizide</v>
      </c>
      <c r="DD24" s="23"/>
      <c r="DG24" s="60">
        <f>'Variante Vorgaben'!$F$133*(1+Eingabeseite!$C$26)</f>
        <v>570</v>
      </c>
      <c r="DH24" s="271">
        <f t="shared" si="11"/>
        <v>2.1442511371984593E-2</v>
      </c>
      <c r="DI24" s="110" t="str">
        <f>'Variante Vorgaben'!$A$133</f>
        <v>Herbizide</v>
      </c>
      <c r="DK24" s="23"/>
      <c r="DN24" s="60">
        <f>'Variante Vorgaben'!$F$133*(1+Eingabeseite!$C$26)</f>
        <v>570</v>
      </c>
      <c r="DO24" s="271">
        <f t="shared" si="12"/>
        <v>2.1442511371984593E-2</v>
      </c>
      <c r="DP24" s="110" t="str">
        <f>'Variante Vorgaben'!$A$133</f>
        <v>Herbizide</v>
      </c>
      <c r="DR24" s="23"/>
      <c r="DU24" s="60">
        <f>'Variante Vorgaben'!$F$133*(1+Eingabeseite!$C$26)</f>
        <v>570</v>
      </c>
      <c r="DV24" s="271">
        <f t="shared" si="13"/>
        <v>2.1442511371984593E-2</v>
      </c>
      <c r="DW24" s="110" t="str">
        <f>'Variante Vorgaben'!$A$133</f>
        <v>Herbizide</v>
      </c>
      <c r="DY24" s="23"/>
      <c r="EB24" s="60">
        <f>'Variante Vorgaben'!$F$133*(1+Eingabeseite!$C$26)</f>
        <v>570</v>
      </c>
      <c r="EC24" s="271">
        <f t="shared" si="14"/>
        <v>2.1442511371984593E-2</v>
      </c>
      <c r="ED24" s="110" t="str">
        <f>'Variante Vorgaben'!$A$133</f>
        <v>Herbizide</v>
      </c>
      <c r="EF24" s="23"/>
      <c r="EI24" s="60">
        <f>'Variante Vorgaben'!$F$133*(1+Eingabeseite!$C$26)</f>
        <v>570</v>
      </c>
      <c r="EJ24" s="271">
        <f t="shared" si="15"/>
        <v>2.1442511371984593E-2</v>
      </c>
    </row>
    <row r="25" spans="1:140" s="1" customFormat="1" x14ac:dyDescent="0.2">
      <c r="A25" s="110" t="str">
        <f>'Variante Vorgaben'!$A$134</f>
        <v>Blatddüngung</v>
      </c>
      <c r="C25" s="23"/>
      <c r="F25" s="118">
        <f>'Variante Vorgaben'!B134*(1+Eingabeseite!$C$27)</f>
        <v>0</v>
      </c>
      <c r="G25" s="271"/>
      <c r="H25" s="110" t="str">
        <f>'Variante Vorgaben'!$A$134</f>
        <v>Blatddüngung</v>
      </c>
      <c r="J25" s="23"/>
      <c r="M25" s="118">
        <f>'Variante Vorgaben'!C134*(1+Eingabeseite!$C$27)</f>
        <v>0</v>
      </c>
      <c r="N25" s="271"/>
      <c r="O25" s="110" t="str">
        <f>'Variante Vorgaben'!$A$134</f>
        <v>Blatddüngung</v>
      </c>
      <c r="Q25" s="23"/>
      <c r="T25" s="118">
        <f>'Variante Vorgaben'!D134*(1+Eingabeseite!$C$27)</f>
        <v>0</v>
      </c>
      <c r="U25" s="271"/>
      <c r="V25" s="110" t="str">
        <f>'Variante Vorgaben'!$A$134</f>
        <v>Blatddüngung</v>
      </c>
      <c r="X25" s="23"/>
      <c r="AA25" s="118">
        <f>'Variante Vorgaben'!E134*(1+Eingabeseite!$C$27)</f>
        <v>0</v>
      </c>
      <c r="AB25" s="271"/>
      <c r="AC25" s="110" t="str">
        <f>'Variante Vorgaben'!$A$134</f>
        <v>Blatddüngung</v>
      </c>
      <c r="AE25" s="23"/>
      <c r="AH25" s="118">
        <f>'Variante Vorgaben'!$F$134*(1+Eingabeseite!$C$27)</f>
        <v>440</v>
      </c>
      <c r="AI25" s="271">
        <f t="shared" si="0"/>
        <v>1.6552114041531969E-2</v>
      </c>
      <c r="AJ25" s="110" t="str">
        <f>'Variante Vorgaben'!$A$134</f>
        <v>Blatddüngung</v>
      </c>
      <c r="AL25" s="23"/>
      <c r="AO25" s="118">
        <f>'Variante Vorgaben'!$F$134*(1+Eingabeseite!$C$27)</f>
        <v>440</v>
      </c>
      <c r="AP25" s="271">
        <f t="shared" si="1"/>
        <v>1.6552114041531969E-2</v>
      </c>
      <c r="AQ25" s="110" t="str">
        <f>'Variante Vorgaben'!$A$134</f>
        <v>Blatddüngung</v>
      </c>
      <c r="AS25" s="23"/>
      <c r="AV25" s="118">
        <f>'Variante Vorgaben'!$F$134*(1+Eingabeseite!$C$27)</f>
        <v>440</v>
      </c>
      <c r="AW25" s="271">
        <f t="shared" si="2"/>
        <v>1.6552114041531969E-2</v>
      </c>
      <c r="AX25" s="110" t="str">
        <f>'Variante Vorgaben'!$A$134</f>
        <v>Blatddüngung</v>
      </c>
      <c r="AZ25" s="23"/>
      <c r="BC25" s="118">
        <f>'Variante Vorgaben'!$F$134*(1+Eingabeseite!$C$27)</f>
        <v>440</v>
      </c>
      <c r="BD25" s="271">
        <f t="shared" si="3"/>
        <v>1.6552114041531969E-2</v>
      </c>
      <c r="BE25" s="110" t="str">
        <f>'Variante Vorgaben'!$A$134</f>
        <v>Blatddüngung</v>
      </c>
      <c r="BG25" s="23"/>
      <c r="BJ25" s="118">
        <f>'Variante Vorgaben'!$F$134*(1+Eingabeseite!$C$27)</f>
        <v>440</v>
      </c>
      <c r="BK25" s="271">
        <f t="shared" si="4"/>
        <v>1.6552114041531969E-2</v>
      </c>
      <c r="BL25" s="110" t="str">
        <f>'Variante Vorgaben'!$A$134</f>
        <v>Blatddüngung</v>
      </c>
      <c r="BN25" s="23"/>
      <c r="BQ25" s="118">
        <f>'Variante Vorgaben'!$F$134*(1+Eingabeseite!$C$27)</f>
        <v>440</v>
      </c>
      <c r="BR25" s="271">
        <f t="shared" si="5"/>
        <v>1.6552114041531969E-2</v>
      </c>
      <c r="BS25" s="110" t="str">
        <f>'Variante Vorgaben'!$A$134</f>
        <v>Blatddüngung</v>
      </c>
      <c r="BU25" s="23"/>
      <c r="BX25" s="118">
        <f>'Variante Vorgaben'!$F$134*(1+Eingabeseite!$C$27)</f>
        <v>440</v>
      </c>
      <c r="BY25" s="271">
        <f t="shared" si="6"/>
        <v>1.6552114041531969E-2</v>
      </c>
      <c r="BZ25" s="110" t="str">
        <f>'Variante Vorgaben'!$A$134</f>
        <v>Blatddüngung</v>
      </c>
      <c r="CB25" s="23"/>
      <c r="CE25" s="118">
        <f>'Variante Vorgaben'!$F$134*(1+Eingabeseite!$C$27)</f>
        <v>440</v>
      </c>
      <c r="CF25" s="271">
        <f t="shared" si="7"/>
        <v>1.6552114041531969E-2</v>
      </c>
      <c r="CG25" s="110" t="str">
        <f>'Variante Vorgaben'!$A$134</f>
        <v>Blatddüngung</v>
      </c>
      <c r="CI25" s="23"/>
      <c r="CL25" s="118">
        <f>'Variante Vorgaben'!$F$134*(1+Eingabeseite!$C$27)</f>
        <v>440</v>
      </c>
      <c r="CM25" s="271">
        <f t="shared" si="8"/>
        <v>1.6552114041531969E-2</v>
      </c>
      <c r="CN25" s="110" t="str">
        <f>'Variante Vorgaben'!$A$134</f>
        <v>Blatddüngung</v>
      </c>
      <c r="CP25" s="23"/>
      <c r="CS25" s="118">
        <f>'Variante Vorgaben'!$F$134*(1+Eingabeseite!$C$27)</f>
        <v>440</v>
      </c>
      <c r="CT25" s="271">
        <f t="shared" si="9"/>
        <v>1.6552114041531969E-2</v>
      </c>
      <c r="CU25" s="110" t="str">
        <f>'Variante Vorgaben'!$A$134</f>
        <v>Blatddüngung</v>
      </c>
      <c r="CW25" s="23"/>
      <c r="CZ25" s="118">
        <f>'Variante Vorgaben'!$F$134*(1+Eingabeseite!$C$27)</f>
        <v>440</v>
      </c>
      <c r="DA25" s="271">
        <f t="shared" si="10"/>
        <v>1.6552114041531969E-2</v>
      </c>
      <c r="DB25" s="110" t="str">
        <f>'Variante Vorgaben'!$A$134</f>
        <v>Blatddüngung</v>
      </c>
      <c r="DD25" s="23"/>
      <c r="DG25" s="118">
        <f>'Variante Vorgaben'!$F$134*(1+Eingabeseite!$C$27)</f>
        <v>440</v>
      </c>
      <c r="DH25" s="271">
        <f t="shared" si="11"/>
        <v>1.6552114041531969E-2</v>
      </c>
      <c r="DI25" s="110" t="str">
        <f>'Variante Vorgaben'!$A$134</f>
        <v>Blatddüngung</v>
      </c>
      <c r="DK25" s="23"/>
      <c r="DN25" s="118">
        <f>'Variante Vorgaben'!$F$134*(1+Eingabeseite!$C$27)</f>
        <v>440</v>
      </c>
      <c r="DO25" s="271">
        <f t="shared" si="12"/>
        <v>1.6552114041531969E-2</v>
      </c>
      <c r="DP25" s="110" t="str">
        <f>'Variante Vorgaben'!$A$134</f>
        <v>Blatddüngung</v>
      </c>
      <c r="DR25" s="23"/>
      <c r="DU25" s="118">
        <f>'Variante Vorgaben'!$F$134*(1+Eingabeseite!$C$27)</f>
        <v>440</v>
      </c>
      <c r="DV25" s="271">
        <f t="shared" si="13"/>
        <v>1.6552114041531969E-2</v>
      </c>
      <c r="DW25" s="110" t="str">
        <f>'Variante Vorgaben'!$A$134</f>
        <v>Blatddüngung</v>
      </c>
      <c r="DY25" s="23"/>
      <c r="EB25" s="118">
        <f>'Variante Vorgaben'!$F$134*(1+Eingabeseite!$C$27)</f>
        <v>440</v>
      </c>
      <c r="EC25" s="271">
        <f t="shared" si="14"/>
        <v>1.6552114041531969E-2</v>
      </c>
      <c r="ED25" s="110" t="str">
        <f>'Variante Vorgaben'!$A$134</f>
        <v>Blatddüngung</v>
      </c>
      <c r="EF25" s="23"/>
      <c r="EI25" s="118">
        <f>'Variante Vorgaben'!$F$134*(1+Eingabeseite!$C$27)</f>
        <v>440</v>
      </c>
      <c r="EJ25" s="271">
        <f t="shared" si="15"/>
        <v>1.6552114041531969E-2</v>
      </c>
    </row>
    <row r="26" spans="1:140" s="1" customFormat="1" x14ac:dyDescent="0.2">
      <c r="A26" s="110"/>
      <c r="C26" s="23"/>
      <c r="F26" s="119">
        <f>SUM(F21:F25)</f>
        <v>325</v>
      </c>
      <c r="G26" s="271"/>
      <c r="H26" s="110"/>
      <c r="J26" s="23"/>
      <c r="M26" s="119">
        <f>SUM(M21:M25)</f>
        <v>890</v>
      </c>
      <c r="N26" s="271"/>
      <c r="O26" s="110"/>
      <c r="Q26" s="23"/>
      <c r="T26" s="119">
        <f>SUM(T21:T25)</f>
        <v>1550</v>
      </c>
      <c r="U26" s="271"/>
      <c r="V26" s="110"/>
      <c r="X26" s="23"/>
      <c r="AA26" s="119">
        <f>SUM(AA21:AA25)</f>
        <v>1980</v>
      </c>
      <c r="AB26" s="271"/>
      <c r="AC26" s="110"/>
      <c r="AE26" s="23"/>
      <c r="AH26" s="119">
        <f>SUM(AH21:AH25)</f>
        <v>4680</v>
      </c>
      <c r="AI26" s="271">
        <f t="shared" si="0"/>
        <v>0.17605430389629456</v>
      </c>
      <c r="AJ26" s="110"/>
      <c r="AL26" s="23"/>
      <c r="AO26" s="119">
        <f>SUM(AO21:AO25)</f>
        <v>4680</v>
      </c>
      <c r="AP26" s="271">
        <f t="shared" si="1"/>
        <v>0.17605430389629456</v>
      </c>
      <c r="AQ26" s="110"/>
      <c r="AS26" s="23"/>
      <c r="AV26" s="119">
        <f>SUM(AV21:AV25)</f>
        <v>4680</v>
      </c>
      <c r="AW26" s="271">
        <f t="shared" si="2"/>
        <v>0.17605430389629456</v>
      </c>
      <c r="AX26" s="110"/>
      <c r="AZ26" s="23"/>
      <c r="BC26" s="119">
        <f>SUM(BC21:BC25)</f>
        <v>4680</v>
      </c>
      <c r="BD26" s="271">
        <f t="shared" si="3"/>
        <v>0.17605430389629456</v>
      </c>
      <c r="BE26" s="110"/>
      <c r="BG26" s="23"/>
      <c r="BJ26" s="119">
        <f>SUM(BJ21:BJ25)</f>
        <v>4680</v>
      </c>
      <c r="BK26" s="271">
        <f t="shared" si="4"/>
        <v>0.17605430389629456</v>
      </c>
      <c r="BL26" s="110"/>
      <c r="BN26" s="23"/>
      <c r="BQ26" s="119">
        <f>SUM(BQ21:BQ25)</f>
        <v>4680</v>
      </c>
      <c r="BR26" s="271">
        <f t="shared" si="5"/>
        <v>0.17605430389629456</v>
      </c>
      <c r="BS26" s="110"/>
      <c r="BU26" s="23"/>
      <c r="BX26" s="119">
        <f>SUM(BX21:BX25)</f>
        <v>4680</v>
      </c>
      <c r="BY26" s="271">
        <f t="shared" si="6"/>
        <v>0.17605430389629456</v>
      </c>
      <c r="BZ26" s="110"/>
      <c r="CB26" s="23"/>
      <c r="CE26" s="119">
        <f>SUM(CE21:CE25)</f>
        <v>4680</v>
      </c>
      <c r="CF26" s="271">
        <f t="shared" si="7"/>
        <v>0.17605430389629456</v>
      </c>
      <c r="CG26" s="110"/>
      <c r="CI26" s="23"/>
      <c r="CL26" s="119">
        <f>SUM(CL21:CL25)</f>
        <v>4680</v>
      </c>
      <c r="CM26" s="271">
        <f t="shared" si="8"/>
        <v>0.17605430389629456</v>
      </c>
      <c r="CN26" s="110"/>
      <c r="CP26" s="23"/>
      <c r="CS26" s="119">
        <f>SUM(CS21:CS25)</f>
        <v>4680</v>
      </c>
      <c r="CT26" s="271">
        <f t="shared" si="9"/>
        <v>0.17605430389629456</v>
      </c>
      <c r="CU26" s="110"/>
      <c r="CW26" s="23"/>
      <c r="CZ26" s="119">
        <f>SUM(CZ21:CZ25)</f>
        <v>4680</v>
      </c>
      <c r="DA26" s="271">
        <f t="shared" si="10"/>
        <v>0.17605430389629456</v>
      </c>
      <c r="DB26" s="110"/>
      <c r="DD26" s="23"/>
      <c r="DG26" s="119">
        <f>SUM(DG21:DG25)</f>
        <v>4680</v>
      </c>
      <c r="DH26" s="271">
        <f t="shared" si="11"/>
        <v>0.17605430389629456</v>
      </c>
      <c r="DI26" s="110"/>
      <c r="DK26" s="23"/>
      <c r="DN26" s="119">
        <f>SUM(DN21:DN25)</f>
        <v>4680</v>
      </c>
      <c r="DO26" s="271">
        <f t="shared" si="12"/>
        <v>0.17605430389629456</v>
      </c>
      <c r="DP26" s="110"/>
      <c r="DR26" s="23"/>
      <c r="DU26" s="119">
        <f>SUM(DU21:DU25)</f>
        <v>4680</v>
      </c>
      <c r="DV26" s="271">
        <f t="shared" si="13"/>
        <v>0.17605430389629456</v>
      </c>
      <c r="DW26" s="110"/>
      <c r="DY26" s="23"/>
      <c r="EB26" s="119">
        <f>SUM(EB21:EB25)</f>
        <v>4680</v>
      </c>
      <c r="EC26" s="271">
        <f t="shared" si="14"/>
        <v>0.17605430389629456</v>
      </c>
      <c r="ED26" s="110"/>
      <c r="EF26" s="23"/>
      <c r="EI26" s="119">
        <f>SUM(EI21:EI25)</f>
        <v>4680</v>
      </c>
      <c r="EJ26" s="271">
        <f t="shared" si="15"/>
        <v>0.17605430389629456</v>
      </c>
    </row>
    <row r="27" spans="1:140" s="1" customFormat="1" ht="13.5" thickBot="1" x14ac:dyDescent="0.25">
      <c r="A27" s="110"/>
      <c r="C27" s="23"/>
      <c r="F27" s="197"/>
      <c r="G27" s="271"/>
      <c r="H27" s="110"/>
      <c r="J27" s="23"/>
      <c r="M27" s="23"/>
      <c r="N27" s="271"/>
      <c r="O27" s="110"/>
      <c r="Q27" s="23"/>
      <c r="T27" s="23"/>
      <c r="U27" s="271"/>
      <c r="V27" s="110"/>
      <c r="X27" s="23"/>
      <c r="AA27" s="23"/>
      <c r="AB27" s="271"/>
      <c r="AC27" s="110"/>
      <c r="AE27" s="58"/>
      <c r="AF27" s="942"/>
      <c r="AG27" s="62"/>
      <c r="AH27" s="43"/>
      <c r="AI27" s="271"/>
      <c r="AJ27" s="110"/>
      <c r="AL27" s="58"/>
      <c r="AM27" s="942"/>
      <c r="AN27" s="62"/>
      <c r="AO27" s="43"/>
      <c r="AP27" s="271"/>
      <c r="AQ27" s="110"/>
      <c r="AS27" s="58"/>
      <c r="AT27" s="942"/>
      <c r="AU27" s="62"/>
      <c r="AV27" s="43"/>
      <c r="AW27" s="271"/>
      <c r="AX27" s="110"/>
      <c r="AZ27" s="58"/>
      <c r="BA27" s="942"/>
      <c r="BB27" s="62"/>
      <c r="BC27" s="43"/>
      <c r="BD27" s="271"/>
      <c r="BE27" s="110"/>
      <c r="BG27" s="58"/>
      <c r="BH27" s="942"/>
      <c r="BI27" s="62"/>
      <c r="BJ27" s="43"/>
      <c r="BK27" s="271"/>
      <c r="BL27" s="110"/>
      <c r="BN27" s="58"/>
      <c r="BO27" s="942"/>
      <c r="BP27" s="62"/>
      <c r="BQ27" s="43"/>
      <c r="BR27" s="271"/>
      <c r="BS27" s="110"/>
      <c r="BU27" s="58"/>
      <c r="BV27" s="942"/>
      <c r="BW27" s="62"/>
      <c r="BX27" s="43"/>
      <c r="BY27" s="271"/>
      <c r="BZ27" s="110"/>
      <c r="CB27" s="58"/>
      <c r="CC27" s="942"/>
      <c r="CD27" s="62"/>
      <c r="CE27" s="43"/>
      <c r="CF27" s="271"/>
      <c r="CG27" s="110"/>
      <c r="CI27" s="58"/>
      <c r="CJ27" s="942"/>
      <c r="CK27" s="62"/>
      <c r="CL27" s="43"/>
      <c r="CM27" s="271"/>
      <c r="CN27" s="110"/>
      <c r="CP27" s="58"/>
      <c r="CQ27" s="942"/>
      <c r="CR27" s="62"/>
      <c r="CS27" s="43"/>
      <c r="CT27" s="271"/>
      <c r="CU27" s="110"/>
      <c r="CW27" s="58"/>
      <c r="CX27" s="942"/>
      <c r="CY27" s="62"/>
      <c r="CZ27" s="43"/>
      <c r="DA27" s="271"/>
      <c r="DB27" s="110"/>
      <c r="DD27" s="58"/>
      <c r="DE27" s="942"/>
      <c r="DF27" s="62"/>
      <c r="DG27" s="43"/>
      <c r="DH27" s="271"/>
      <c r="DI27" s="110"/>
      <c r="DK27" s="58"/>
      <c r="DL27" s="942"/>
      <c r="DM27" s="62"/>
      <c r="DN27" s="43"/>
      <c r="DO27" s="271"/>
      <c r="DP27" s="110"/>
      <c r="DR27" s="58"/>
      <c r="DS27" s="942"/>
      <c r="DT27" s="62"/>
      <c r="DU27" s="43"/>
      <c r="DV27" s="271"/>
      <c r="DW27" s="110"/>
      <c r="DY27" s="58"/>
      <c r="DZ27" s="942"/>
      <c r="EA27" s="62"/>
      <c r="EB27" s="43"/>
      <c r="EC27" s="271"/>
      <c r="ED27" s="110"/>
      <c r="EF27" s="58"/>
      <c r="EG27" s="942"/>
      <c r="EH27" s="62"/>
      <c r="EI27" s="43"/>
      <c r="EJ27" s="271"/>
    </row>
    <row r="28" spans="1:140" s="1" customFormat="1" ht="18" customHeight="1" x14ac:dyDescent="0.2">
      <c r="A28" s="106" t="s">
        <v>472</v>
      </c>
      <c r="B28" s="1" t="str">
        <f>'Variante Vorgaben'!$F$39</f>
        <v>Klasse I+II</v>
      </c>
      <c r="D28" s="608" t="s">
        <v>151</v>
      </c>
      <c r="E28" s="62">
        <f>'Variante Vorgaben'!$G$39</f>
        <v>325</v>
      </c>
      <c r="F28" s="60">
        <f>E28</f>
        <v>325</v>
      </c>
      <c r="G28" s="271">
        <f>F28/F67</f>
        <v>3.2007492973612314E-2</v>
      </c>
      <c r="H28" s="106" t="s">
        <v>472</v>
      </c>
      <c r="I28" s="1" t="str">
        <f>'Variante Vorgaben'!$F$39</f>
        <v>Klasse I+II</v>
      </c>
      <c r="K28" s="608" t="s">
        <v>151</v>
      </c>
      <c r="L28" s="62">
        <f>'Variante Vorgaben'!$G$39</f>
        <v>325</v>
      </c>
      <c r="M28" s="120">
        <f>L28</f>
        <v>325</v>
      </c>
      <c r="N28" s="271">
        <f>M28/M67</f>
        <v>2.6115722142235519E-2</v>
      </c>
      <c r="O28" s="106" t="s">
        <v>472</v>
      </c>
      <c r="P28" s="1" t="str">
        <f>'Variante Vorgaben'!$F$39</f>
        <v>Klasse I+II</v>
      </c>
      <c r="R28" s="608" t="s">
        <v>151</v>
      </c>
      <c r="S28" s="62">
        <f>'Variante Vorgaben'!$G$39</f>
        <v>325</v>
      </c>
      <c r="T28" s="120">
        <f>S28</f>
        <v>325</v>
      </c>
      <c r="U28" s="271">
        <f>T28/T67</f>
        <v>1.7714766975178996E-2</v>
      </c>
      <c r="V28" s="106" t="s">
        <v>472</v>
      </c>
      <c r="W28" s="1" t="str">
        <f>'Variante Vorgaben'!$F$39</f>
        <v>Klasse I+II</v>
      </c>
      <c r="Y28" s="608" t="s">
        <v>151</v>
      </c>
      <c r="Z28" s="62">
        <f>'Variante Vorgaben'!$G$39</f>
        <v>325</v>
      </c>
      <c r="AA28" s="120">
        <f>Z28</f>
        <v>325</v>
      </c>
      <c r="AB28" s="271">
        <f>AA28/AA67</f>
        <v>1.5974163641732333E-2</v>
      </c>
      <c r="AC28" s="106" t="s">
        <v>472</v>
      </c>
      <c r="AD28" s="1" t="str">
        <f>'Variante Vorgaben'!$F$39</f>
        <v>Klasse I+II</v>
      </c>
      <c r="AF28" s="608" t="s">
        <v>151</v>
      </c>
      <c r="AG28" s="62">
        <f>'Variante Vorgaben'!$G$39</f>
        <v>325</v>
      </c>
      <c r="AH28" s="120">
        <f>AG28</f>
        <v>325</v>
      </c>
      <c r="AI28" s="271">
        <f>AH28/AH67</f>
        <v>1.2225993326131567E-2</v>
      </c>
      <c r="AJ28" s="106" t="s">
        <v>472</v>
      </c>
      <c r="AK28" s="1" t="str">
        <f>'Variante Vorgaben'!$F$39</f>
        <v>Klasse I+II</v>
      </c>
      <c r="AM28" s="608" t="s">
        <v>151</v>
      </c>
      <c r="AN28" s="62">
        <f>'Variante Vorgaben'!$G$39</f>
        <v>325</v>
      </c>
      <c r="AO28" s="120">
        <f>AN28</f>
        <v>325</v>
      </c>
      <c r="AP28" s="271">
        <f>AO28/AO67</f>
        <v>1.1068734857734701E-2</v>
      </c>
      <c r="AQ28" s="106" t="s">
        <v>472</v>
      </c>
      <c r="AR28" s="1" t="str">
        <f>'Variante Vorgaben'!$F$39</f>
        <v>Klasse I+II</v>
      </c>
      <c r="AT28" s="608" t="s">
        <v>151</v>
      </c>
      <c r="AU28" s="62">
        <f>'Variante Vorgaben'!$G$39</f>
        <v>325</v>
      </c>
      <c r="AV28" s="120">
        <f>AU28</f>
        <v>325</v>
      </c>
      <c r="AW28" s="271">
        <f>AV28/AV67</f>
        <v>1.1067737530747173E-2</v>
      </c>
      <c r="AX28" s="106" t="s">
        <v>472</v>
      </c>
      <c r="AY28" s="1" t="str">
        <f>'Variante Vorgaben'!$F$39</f>
        <v>Klasse I+II</v>
      </c>
      <c r="BA28" s="608" t="s">
        <v>151</v>
      </c>
      <c r="BB28" s="62">
        <f>'Variante Vorgaben'!$G$39</f>
        <v>325</v>
      </c>
      <c r="BC28" s="120">
        <f>BB28</f>
        <v>325</v>
      </c>
      <c r="BD28" s="271">
        <f>BC28/BC67</f>
        <v>1.1066731409958206E-2</v>
      </c>
      <c r="BE28" s="106" t="s">
        <v>472</v>
      </c>
      <c r="BF28" s="1" t="str">
        <f>'Variante Vorgaben'!$F$39</f>
        <v>Klasse I+II</v>
      </c>
      <c r="BH28" s="608" t="s">
        <v>151</v>
      </c>
      <c r="BI28" s="62">
        <f>'Variante Vorgaben'!$G$39</f>
        <v>325</v>
      </c>
      <c r="BJ28" s="120">
        <f>BI28</f>
        <v>325</v>
      </c>
      <c r="BK28" s="271">
        <f>BJ28/BJ67</f>
        <v>1.1065716419466314E-2</v>
      </c>
      <c r="BL28" s="106" t="s">
        <v>472</v>
      </c>
      <c r="BM28" s="1" t="str">
        <f>'Variante Vorgaben'!$F$39</f>
        <v>Klasse I+II</v>
      </c>
      <c r="BO28" s="608" t="s">
        <v>151</v>
      </c>
      <c r="BP28" s="62">
        <f>'Variante Vorgaben'!$G$39</f>
        <v>325</v>
      </c>
      <c r="BQ28" s="120">
        <f>BP28</f>
        <v>325</v>
      </c>
      <c r="BR28" s="271">
        <f>BQ28/BQ67</f>
        <v>1.1064692482744175E-2</v>
      </c>
      <c r="BS28" s="106" t="s">
        <v>472</v>
      </c>
      <c r="BT28" s="1" t="str">
        <f>'Variante Vorgaben'!$F$39</f>
        <v>Klasse I+II</v>
      </c>
      <c r="BV28" s="608" t="s">
        <v>151</v>
      </c>
      <c r="BW28" s="62">
        <f>'Variante Vorgaben'!$G$39</f>
        <v>325</v>
      </c>
      <c r="BX28" s="120">
        <f>BW28</f>
        <v>325</v>
      </c>
      <c r="BY28" s="271">
        <f>BX28/BX67</f>
        <v>1.1063659522633997E-2</v>
      </c>
      <c r="BZ28" s="106" t="s">
        <v>472</v>
      </c>
      <c r="CA28" s="1" t="str">
        <f>'Variante Vorgaben'!$F$39</f>
        <v>Klasse I+II</v>
      </c>
      <c r="CC28" s="608" t="s">
        <v>151</v>
      </c>
      <c r="CD28" s="62">
        <f>'Variante Vorgaben'!$G$39</f>
        <v>325</v>
      </c>
      <c r="CE28" s="120">
        <f>CD28</f>
        <v>325</v>
      </c>
      <c r="CF28" s="271">
        <f>CE28/CE67</f>
        <v>1.1062617461342853E-2</v>
      </c>
      <c r="CG28" s="106" t="s">
        <v>472</v>
      </c>
      <c r="CH28" s="1" t="str">
        <f>'Variante Vorgaben'!$F$39</f>
        <v>Klasse I+II</v>
      </c>
      <c r="CJ28" s="608" t="s">
        <v>151</v>
      </c>
      <c r="CK28" s="62">
        <f>'Variante Vorgaben'!$G$39</f>
        <v>325</v>
      </c>
      <c r="CL28" s="120">
        <f>CK28</f>
        <v>325</v>
      </c>
      <c r="CM28" s="271">
        <f>CL28/CL67</f>
        <v>1.1061566220438E-2</v>
      </c>
      <c r="CN28" s="106" t="s">
        <v>472</v>
      </c>
      <c r="CO28" s="1" t="str">
        <f>'Variante Vorgaben'!$F$39</f>
        <v>Klasse I+II</v>
      </c>
      <c r="CQ28" s="608" t="s">
        <v>151</v>
      </c>
      <c r="CR28" s="62">
        <f>'Variante Vorgaben'!$G$39</f>
        <v>325</v>
      </c>
      <c r="CS28" s="120">
        <f>CR28</f>
        <v>325</v>
      </c>
      <c r="CT28" s="271">
        <f>CS28/CS67</f>
        <v>1.1060505720842179E-2</v>
      </c>
      <c r="CU28" s="106" t="s">
        <v>472</v>
      </c>
      <c r="CV28" s="1" t="str">
        <f>'Variante Vorgaben'!$F$39</f>
        <v>Klasse I+II</v>
      </c>
      <c r="CX28" s="608" t="s">
        <v>151</v>
      </c>
      <c r="CY28" s="62">
        <f>'Variante Vorgaben'!$G$39</f>
        <v>325</v>
      </c>
      <c r="CZ28" s="120">
        <f>CY28</f>
        <v>325</v>
      </c>
      <c r="DA28" s="271">
        <f>CZ28/CZ67</f>
        <v>1.1059435882828875E-2</v>
      </c>
      <c r="DB28" s="106" t="s">
        <v>472</v>
      </c>
      <c r="DC28" s="1" t="str">
        <f>'Variante Vorgaben'!$F$39</f>
        <v>Klasse I+II</v>
      </c>
      <c r="DE28" s="608" t="s">
        <v>151</v>
      </c>
      <c r="DF28" s="62">
        <f>'Variante Vorgaben'!$G$39</f>
        <v>325</v>
      </c>
      <c r="DG28" s="120">
        <f>DF28</f>
        <v>325</v>
      </c>
      <c r="DH28" s="271">
        <f t="shared" ref="DH28:DH33" si="16">DG28/$DG$67</f>
        <v>1.1058356626017566E-2</v>
      </c>
      <c r="DI28" s="106" t="s">
        <v>472</v>
      </c>
      <c r="DJ28" s="1" t="str">
        <f>'Variante Vorgaben'!$F$39</f>
        <v>Klasse I+II</v>
      </c>
      <c r="DL28" s="608" t="s">
        <v>151</v>
      </c>
      <c r="DM28" s="62">
        <f>'Variante Vorgaben'!$G$39</f>
        <v>325</v>
      </c>
      <c r="DN28" s="120">
        <f>DM28</f>
        <v>325</v>
      </c>
      <c r="DO28" s="271">
        <f t="shared" ref="DO28:DO33" si="17">DN28/$DN$67</f>
        <v>1.1057267869368942E-2</v>
      </c>
      <c r="DP28" s="106" t="s">
        <v>472</v>
      </c>
      <c r="DQ28" s="1" t="str">
        <f>'Variante Vorgaben'!$F$39</f>
        <v>Klasse I+II</v>
      </c>
      <c r="DS28" s="608" t="s">
        <v>151</v>
      </c>
      <c r="DT28" s="62">
        <f>'Variante Vorgaben'!$G$39</f>
        <v>325</v>
      </c>
      <c r="DU28" s="120">
        <f>DT28</f>
        <v>325</v>
      </c>
      <c r="DV28" s="271">
        <f t="shared" ref="DV28:DV33" si="18">DU28/$DU$67</f>
        <v>1.1056169531180104E-2</v>
      </c>
      <c r="DW28" s="106" t="s">
        <v>472</v>
      </c>
      <c r="DX28" s="1" t="str">
        <f>'Variante Vorgaben'!$F$39</f>
        <v>Klasse I+II</v>
      </c>
      <c r="DZ28" s="608" t="s">
        <v>151</v>
      </c>
      <c r="EA28" s="62">
        <f>'Variante Vorgaben'!$G$39</f>
        <v>325</v>
      </c>
      <c r="EB28" s="120">
        <f>EA28</f>
        <v>325</v>
      </c>
      <c r="EC28" s="271">
        <f t="shared" ref="EC28:EC33" si="19">EB28/$EB$67</f>
        <v>1.1055061529079731E-2</v>
      </c>
      <c r="ED28" s="106" t="s">
        <v>472</v>
      </c>
      <c r="EE28" s="1" t="str">
        <f>'Variante Vorgaben'!$F$39</f>
        <v>Klasse I+II</v>
      </c>
      <c r="EG28" s="608" t="s">
        <v>151</v>
      </c>
      <c r="EH28" s="62">
        <f>'Variante Vorgaben'!$G$39</f>
        <v>325</v>
      </c>
      <c r="EI28" s="120">
        <f>EH28</f>
        <v>325</v>
      </c>
      <c r="EJ28" s="271">
        <f t="shared" ref="EJ28:EJ33" si="20">EI28/$EI$67</f>
        <v>9.1804612680527267E-3</v>
      </c>
    </row>
    <row r="29" spans="1:140" s="1" customFormat="1" ht="18" customHeight="1" thickBot="1" x14ac:dyDescent="0.25">
      <c r="A29" s="3"/>
      <c r="B29" s="1" t="str">
        <f>'Variante Vorgaben'!$F$40</f>
        <v>Mostobst total</v>
      </c>
      <c r="D29" s="608" t="s">
        <v>59</v>
      </c>
      <c r="E29" s="62">
        <f>'Variante Vorgaben'!$G$40</f>
        <v>1</v>
      </c>
      <c r="F29" s="197">
        <f>E29*D11/100</f>
        <v>0</v>
      </c>
      <c r="G29" s="271">
        <f>F29/F67</f>
        <v>0</v>
      </c>
      <c r="H29" s="3"/>
      <c r="I29" s="1" t="str">
        <f>'Variante Vorgaben'!$F$40</f>
        <v>Mostobst total</v>
      </c>
      <c r="K29" s="608" t="s">
        <v>59</v>
      </c>
      <c r="L29" s="62">
        <f>'Variante Vorgaben'!$G$40</f>
        <v>1</v>
      </c>
      <c r="M29" s="120">
        <f>L29*K11/100</f>
        <v>7.5</v>
      </c>
      <c r="N29" s="271">
        <f>M29/M67</f>
        <v>6.0267051097466582E-4</v>
      </c>
      <c r="O29" s="3"/>
      <c r="P29" s="1" t="str">
        <f>'Variante Vorgaben'!$F$40</f>
        <v>Mostobst total</v>
      </c>
      <c r="R29" s="608" t="s">
        <v>59</v>
      </c>
      <c r="S29" s="62">
        <f>'Variante Vorgaben'!$G$40</f>
        <v>1</v>
      </c>
      <c r="T29" s="120">
        <f>S29*R11/100</f>
        <v>12.5</v>
      </c>
      <c r="U29" s="271">
        <f>T29/T67</f>
        <v>6.813371913530383E-4</v>
      </c>
      <c r="V29" s="3"/>
      <c r="W29" s="1" t="str">
        <f>'Variante Vorgaben'!$F$40</f>
        <v>Mostobst total</v>
      </c>
      <c r="Y29" s="608" t="s">
        <v>59</v>
      </c>
      <c r="Z29" s="62">
        <f>'Variante Vorgaben'!$G$40</f>
        <v>1</v>
      </c>
      <c r="AA29" s="120">
        <f>Z29*Y11/100</f>
        <v>25</v>
      </c>
      <c r="AB29" s="271">
        <f>AA29/AA67</f>
        <v>1.228781818594795E-3</v>
      </c>
      <c r="AC29" s="3"/>
      <c r="AD29" s="1" t="str">
        <f>'Variante Vorgaben'!$F$40</f>
        <v>Mostobst total</v>
      </c>
      <c r="AF29" s="608" t="s">
        <v>59</v>
      </c>
      <c r="AG29" s="62">
        <f>'Variante Vorgaben'!$G$40</f>
        <v>1</v>
      </c>
      <c r="AH29" s="120">
        <f>AG29*AF11/100</f>
        <v>50</v>
      </c>
      <c r="AI29" s="271">
        <f>AH29/AH67</f>
        <v>1.8809220501740873E-3</v>
      </c>
      <c r="AJ29" s="3"/>
      <c r="AK29" s="1" t="str">
        <f>'Variante Vorgaben'!$F$40</f>
        <v>Mostobst total</v>
      </c>
      <c r="AM29" s="608" t="s">
        <v>59</v>
      </c>
      <c r="AN29" s="62">
        <f>'Variante Vorgaben'!$G$40</f>
        <v>1</v>
      </c>
      <c r="AO29" s="120">
        <f>AN29*AM11/100</f>
        <v>80</v>
      </c>
      <c r="AP29" s="271">
        <f>AO29/AO67</f>
        <v>2.7246116572885418E-3</v>
      </c>
      <c r="AQ29" s="3"/>
      <c r="AR29" s="1" t="str">
        <f>'Variante Vorgaben'!$F$40</f>
        <v>Mostobst total</v>
      </c>
      <c r="AT29" s="608" t="s">
        <v>59</v>
      </c>
      <c r="AU29" s="62">
        <f>'Variante Vorgaben'!$G$40</f>
        <v>1</v>
      </c>
      <c r="AV29" s="120">
        <f>AU29*AT11/100</f>
        <v>80</v>
      </c>
      <c r="AW29" s="271">
        <f>AV29/AV67</f>
        <v>2.7243661614146887E-3</v>
      </c>
      <c r="AX29" s="3"/>
      <c r="AY29" s="1" t="str">
        <f>'Variante Vorgaben'!$F$40</f>
        <v>Mostobst total</v>
      </c>
      <c r="BA29" s="608" t="s">
        <v>59</v>
      </c>
      <c r="BB29" s="62">
        <f>'Variante Vorgaben'!$G$40</f>
        <v>1</v>
      </c>
      <c r="BC29" s="120">
        <f>BB29*BA11/100</f>
        <v>80</v>
      </c>
      <c r="BD29" s="271">
        <f>BC29/BC67</f>
        <v>2.7241185009127889E-3</v>
      </c>
      <c r="BE29" s="3"/>
      <c r="BF29" s="1" t="str">
        <f>'Variante Vorgaben'!$F$40</f>
        <v>Mostobst total</v>
      </c>
      <c r="BH29" s="608" t="s">
        <v>59</v>
      </c>
      <c r="BI29" s="62">
        <f>'Variante Vorgaben'!$G$40</f>
        <v>1</v>
      </c>
      <c r="BJ29" s="120">
        <f>BI29*BH11/100</f>
        <v>80</v>
      </c>
      <c r="BK29" s="271">
        <f>BJ29/BJ67</f>
        <v>2.7238686570994004E-3</v>
      </c>
      <c r="BL29" s="3"/>
      <c r="BM29" s="1" t="str">
        <f>'Variante Vorgaben'!$F$40</f>
        <v>Mostobst total</v>
      </c>
      <c r="BO29" s="608" t="s">
        <v>59</v>
      </c>
      <c r="BP29" s="62">
        <f>'Variante Vorgaben'!$G$40</f>
        <v>1</v>
      </c>
      <c r="BQ29" s="120">
        <f>BP29*BO11/100</f>
        <v>80</v>
      </c>
      <c r="BR29" s="271">
        <f>BQ29/BQ67</f>
        <v>2.723616611137028E-3</v>
      </c>
      <c r="BS29" s="3"/>
      <c r="BT29" s="1" t="str">
        <f>'Variante Vorgaben'!$F$40</f>
        <v>Mostobst total</v>
      </c>
      <c r="BV29" s="608" t="s">
        <v>59</v>
      </c>
      <c r="BW29" s="62">
        <f>'Variante Vorgaben'!$G$40</f>
        <v>1</v>
      </c>
      <c r="BX29" s="120">
        <f>BW29*BV11/100</f>
        <v>80</v>
      </c>
      <c r="BY29" s="271">
        <f>BX29/BX67</f>
        <v>2.723362344032984E-3</v>
      </c>
      <c r="BZ29" s="3"/>
      <c r="CA29" s="1" t="str">
        <f>'Variante Vorgaben'!$F$40</f>
        <v>Mostobst total</v>
      </c>
      <c r="CC29" s="608" t="s">
        <v>59</v>
      </c>
      <c r="CD29" s="62">
        <f>'Variante Vorgaben'!$G$40</f>
        <v>1</v>
      </c>
      <c r="CE29" s="120">
        <f>CD29*CC11/100</f>
        <v>80</v>
      </c>
      <c r="CF29" s="271">
        <f>CE29/CE67</f>
        <v>2.7231058366382404E-3</v>
      </c>
      <c r="CG29" s="3"/>
      <c r="CH29" s="1" t="str">
        <f>'Variante Vorgaben'!$F$40</f>
        <v>Mostobst total</v>
      </c>
      <c r="CJ29" s="608" t="s">
        <v>59</v>
      </c>
      <c r="CK29" s="62">
        <f>'Variante Vorgaben'!$G$40</f>
        <v>1</v>
      </c>
      <c r="CL29" s="120">
        <f>CK29*CJ11/100</f>
        <v>80</v>
      </c>
      <c r="CM29" s="271">
        <f>CL29/CL67</f>
        <v>2.7228470696462771E-3</v>
      </c>
      <c r="CN29" s="3"/>
      <c r="CO29" s="1" t="str">
        <f>'Variante Vorgaben'!$F$40</f>
        <v>Mostobst total</v>
      </c>
      <c r="CQ29" s="608" t="s">
        <v>59</v>
      </c>
      <c r="CR29" s="62">
        <f>'Variante Vorgaben'!$G$40</f>
        <v>1</v>
      </c>
      <c r="CS29" s="120">
        <f>CR29*CQ11/100</f>
        <v>80</v>
      </c>
      <c r="CT29" s="271">
        <f>CS29/CS67</f>
        <v>2.7225860235919209E-3</v>
      </c>
      <c r="CU29" s="3"/>
      <c r="CV29" s="1" t="str">
        <f>'Variante Vorgaben'!$F$40</f>
        <v>Mostobst total</v>
      </c>
      <c r="CX29" s="608" t="s">
        <v>59</v>
      </c>
      <c r="CY29" s="62">
        <f>'Variante Vorgaben'!$G$40</f>
        <v>1</v>
      </c>
      <c r="CZ29" s="120">
        <f>CY29*CX11/100</f>
        <v>80</v>
      </c>
      <c r="DA29" s="271">
        <f>CZ29/CZ67</f>
        <v>2.7223226788501845E-3</v>
      </c>
      <c r="DB29" s="3"/>
      <c r="DC29" s="1" t="str">
        <f>'Variante Vorgaben'!$F$40</f>
        <v>Mostobst total</v>
      </c>
      <c r="DE29" s="608" t="s">
        <v>59</v>
      </c>
      <c r="DF29" s="62">
        <f>'Variante Vorgaben'!$G$40</f>
        <v>1</v>
      </c>
      <c r="DG29" s="120">
        <f>DF29*DE11/100</f>
        <v>80</v>
      </c>
      <c r="DH29" s="271">
        <f t="shared" si="16"/>
        <v>2.722057015635093E-3</v>
      </c>
      <c r="DI29" s="3"/>
      <c r="DJ29" s="1" t="str">
        <f>'Variante Vorgaben'!$F$40</f>
        <v>Mostobst total</v>
      </c>
      <c r="DL29" s="608" t="s">
        <v>59</v>
      </c>
      <c r="DM29" s="62">
        <f>'Variante Vorgaben'!$G$40</f>
        <v>1</v>
      </c>
      <c r="DN29" s="120">
        <f>DM29*DL11/100</f>
        <v>80</v>
      </c>
      <c r="DO29" s="271">
        <f t="shared" si="17"/>
        <v>2.721789013998509E-3</v>
      </c>
      <c r="DP29" s="3"/>
      <c r="DQ29" s="1" t="str">
        <f>'Variante Vorgaben'!$F$40</f>
        <v>Mostobst total</v>
      </c>
      <c r="DS29" s="608" t="s">
        <v>59</v>
      </c>
      <c r="DT29" s="62">
        <f>'Variante Vorgaben'!$G$40</f>
        <v>1</v>
      </c>
      <c r="DU29" s="120">
        <f>DT29*DS11/100</f>
        <v>80</v>
      </c>
      <c r="DV29" s="271">
        <f t="shared" si="18"/>
        <v>2.7215186538289489E-3</v>
      </c>
      <c r="DW29" s="3"/>
      <c r="DX29" s="1" t="str">
        <f>'Variante Vorgaben'!$F$40</f>
        <v>Mostobst total</v>
      </c>
      <c r="DZ29" s="608" t="s">
        <v>59</v>
      </c>
      <c r="EA29" s="62">
        <f>'Variante Vorgaben'!$G$40</f>
        <v>1</v>
      </c>
      <c r="EB29" s="120">
        <f>EA29*DZ11/100</f>
        <v>80</v>
      </c>
      <c r="EC29" s="271">
        <f t="shared" si="19"/>
        <v>2.7212459148503953E-3</v>
      </c>
      <c r="ED29" s="3"/>
      <c r="EE29" s="1" t="str">
        <f>'Variante Vorgaben'!$F$40</f>
        <v>Mostobst total</v>
      </c>
      <c r="EG29" s="608" t="s">
        <v>59</v>
      </c>
      <c r="EH29" s="62">
        <f>'Variante Vorgaben'!$G$40</f>
        <v>1</v>
      </c>
      <c r="EI29" s="120">
        <f>EH29*EG11/100</f>
        <v>80</v>
      </c>
      <c r="EJ29" s="271">
        <f t="shared" si="20"/>
        <v>2.2598058505975942E-3</v>
      </c>
    </row>
    <row r="30" spans="1:140" s="23" customFormat="1" x14ac:dyDescent="0.2">
      <c r="A30" s="156" t="str">
        <f>'Variante Vorgaben'!$E$42</f>
        <v>Gebindekosten</v>
      </c>
      <c r="B30" s="187" t="str">
        <f>'Variante Vorgaben'!$F$42</f>
        <v>Klasse I+II</v>
      </c>
      <c r="C30" s="1"/>
      <c r="D30" s="46" t="s">
        <v>59</v>
      </c>
      <c r="E30" s="273">
        <f>'Variante Vorgaben'!$G$42</f>
        <v>0</v>
      </c>
      <c r="F30" s="60">
        <f>(D9+D10)/100*E30</f>
        <v>0</v>
      </c>
      <c r="G30" s="271">
        <f>F30/F67</f>
        <v>0</v>
      </c>
      <c r="H30" s="156" t="str">
        <f>'Variante Vorgaben'!$E$42</f>
        <v>Gebindekosten</v>
      </c>
      <c r="I30" s="187" t="str">
        <f>'Variante Vorgaben'!$F$42</f>
        <v>Klasse I+II</v>
      </c>
      <c r="J30" s="1"/>
      <c r="K30" s="46" t="s">
        <v>59</v>
      </c>
      <c r="L30" s="273">
        <f>'Variante Vorgaben'!$G$42</f>
        <v>0</v>
      </c>
      <c r="M30" s="120">
        <f>(K9+K10)/100*L30</f>
        <v>0</v>
      </c>
      <c r="N30" s="271">
        <f>M30/M67</f>
        <v>0</v>
      </c>
      <c r="O30" s="156" t="str">
        <f>'Variante Vorgaben'!$E$42</f>
        <v>Gebindekosten</v>
      </c>
      <c r="P30" s="187" t="str">
        <f>'Variante Vorgaben'!$F$42</f>
        <v>Klasse I+II</v>
      </c>
      <c r="Q30" s="1"/>
      <c r="R30" s="46" t="s">
        <v>59</v>
      </c>
      <c r="S30" s="273">
        <f>'Variante Vorgaben'!$G$42</f>
        <v>0</v>
      </c>
      <c r="T30" s="120">
        <f>(R9+R10)/100*S30</f>
        <v>0</v>
      </c>
      <c r="U30" s="271">
        <f>T30/T67</f>
        <v>0</v>
      </c>
      <c r="V30" s="156" t="str">
        <f>'Variante Vorgaben'!$E$42</f>
        <v>Gebindekosten</v>
      </c>
      <c r="W30" s="187" t="str">
        <f>'Variante Vorgaben'!$F$42</f>
        <v>Klasse I+II</v>
      </c>
      <c r="X30" s="1"/>
      <c r="Y30" s="46" t="s">
        <v>59</v>
      </c>
      <c r="Z30" s="273">
        <f>'Variante Vorgaben'!$G$42</f>
        <v>0</v>
      </c>
      <c r="AA30" s="120">
        <f>(Y9+Y10)/100*Z30</f>
        <v>0</v>
      </c>
      <c r="AB30" s="271">
        <f>AA30/AA67</f>
        <v>0</v>
      </c>
      <c r="AC30" s="156" t="str">
        <f>'Variante Vorgaben'!$E$42</f>
        <v>Gebindekosten</v>
      </c>
      <c r="AD30" s="187" t="str">
        <f>'Variante Vorgaben'!$F$42</f>
        <v>Klasse I+II</v>
      </c>
      <c r="AE30" s="1"/>
      <c r="AF30" s="46" t="s">
        <v>59</v>
      </c>
      <c r="AG30" s="273">
        <f>'Variante Vorgaben'!$G$42</f>
        <v>0</v>
      </c>
      <c r="AH30" s="120">
        <f>(AF9+AF10)/100*AG30</f>
        <v>0</v>
      </c>
      <c r="AI30" s="271">
        <f>AH30/AH67</f>
        <v>0</v>
      </c>
      <c r="AJ30" s="156" t="str">
        <f>'Variante Vorgaben'!$E$42</f>
        <v>Gebindekosten</v>
      </c>
      <c r="AK30" s="187" t="str">
        <f>'Variante Vorgaben'!$F$42</f>
        <v>Klasse I+II</v>
      </c>
      <c r="AL30" s="1"/>
      <c r="AM30" s="46" t="s">
        <v>59</v>
      </c>
      <c r="AN30" s="273">
        <f>'Variante Vorgaben'!$G$42</f>
        <v>0</v>
      </c>
      <c r="AO30" s="120">
        <f>(AM9+AM10)/100*AN30</f>
        <v>0</v>
      </c>
      <c r="AP30" s="271">
        <f>AO30/AO67</f>
        <v>0</v>
      </c>
      <c r="AQ30" s="156" t="str">
        <f>'Variante Vorgaben'!$E$42</f>
        <v>Gebindekosten</v>
      </c>
      <c r="AR30" s="187" t="str">
        <f>'Variante Vorgaben'!$F$42</f>
        <v>Klasse I+II</v>
      </c>
      <c r="AS30" s="1"/>
      <c r="AT30" s="46" t="s">
        <v>59</v>
      </c>
      <c r="AU30" s="273">
        <f>'Variante Vorgaben'!$G$42</f>
        <v>0</v>
      </c>
      <c r="AV30" s="120">
        <f>(AT9+AT10)/100*AU30</f>
        <v>0</v>
      </c>
      <c r="AW30" s="271">
        <f>AV30/AV67</f>
        <v>0</v>
      </c>
      <c r="AX30" s="156" t="str">
        <f>'Variante Vorgaben'!$E$42</f>
        <v>Gebindekosten</v>
      </c>
      <c r="AY30" s="187" t="str">
        <f>'Variante Vorgaben'!$F$42</f>
        <v>Klasse I+II</v>
      </c>
      <c r="AZ30" s="1"/>
      <c r="BA30" s="46" t="s">
        <v>59</v>
      </c>
      <c r="BB30" s="273">
        <f>'Variante Vorgaben'!$G$42</f>
        <v>0</v>
      </c>
      <c r="BC30" s="120">
        <f>(BA9+BA10)/100*BB30</f>
        <v>0</v>
      </c>
      <c r="BD30" s="271">
        <f>BC30/BC67</f>
        <v>0</v>
      </c>
      <c r="BE30" s="156" t="str">
        <f>'Variante Vorgaben'!$E$42</f>
        <v>Gebindekosten</v>
      </c>
      <c r="BF30" s="187" t="str">
        <f>'Variante Vorgaben'!$F$42</f>
        <v>Klasse I+II</v>
      </c>
      <c r="BG30" s="1"/>
      <c r="BH30" s="46" t="s">
        <v>59</v>
      </c>
      <c r="BI30" s="273">
        <f>'Variante Vorgaben'!$G$42</f>
        <v>0</v>
      </c>
      <c r="BJ30" s="120">
        <f>(BH9+BH10)/100*BI30</f>
        <v>0</v>
      </c>
      <c r="BK30" s="271">
        <f>BJ30/BJ67</f>
        <v>0</v>
      </c>
      <c r="BL30" s="156" t="str">
        <f>'Variante Vorgaben'!$E$42</f>
        <v>Gebindekosten</v>
      </c>
      <c r="BM30" s="187" t="str">
        <f>'Variante Vorgaben'!$F$42</f>
        <v>Klasse I+II</v>
      </c>
      <c r="BN30" s="1"/>
      <c r="BO30" s="46" t="s">
        <v>59</v>
      </c>
      <c r="BP30" s="273">
        <f>'Variante Vorgaben'!$G$42</f>
        <v>0</v>
      </c>
      <c r="BQ30" s="120">
        <f>(BO9+BO10)/100*BP30</f>
        <v>0</v>
      </c>
      <c r="BR30" s="271">
        <f>BQ30/BQ67</f>
        <v>0</v>
      </c>
      <c r="BS30" s="156" t="str">
        <f>'Variante Vorgaben'!$E$42</f>
        <v>Gebindekosten</v>
      </c>
      <c r="BT30" s="187" t="str">
        <f>'Variante Vorgaben'!$F$42</f>
        <v>Klasse I+II</v>
      </c>
      <c r="BU30" s="1"/>
      <c r="BV30" s="46" t="s">
        <v>59</v>
      </c>
      <c r="BW30" s="273">
        <f>'Variante Vorgaben'!$G$42</f>
        <v>0</v>
      </c>
      <c r="BX30" s="120">
        <f>(BV9+BV10)/100*BW30</f>
        <v>0</v>
      </c>
      <c r="BY30" s="271">
        <f>BX30/BX67</f>
        <v>0</v>
      </c>
      <c r="BZ30" s="156" t="str">
        <f>'Variante Vorgaben'!$E$42</f>
        <v>Gebindekosten</v>
      </c>
      <c r="CA30" s="187" t="str">
        <f>'Variante Vorgaben'!$F$42</f>
        <v>Klasse I+II</v>
      </c>
      <c r="CB30" s="1"/>
      <c r="CC30" s="46" t="s">
        <v>59</v>
      </c>
      <c r="CD30" s="273">
        <f>'Variante Vorgaben'!$G$42</f>
        <v>0</v>
      </c>
      <c r="CE30" s="120">
        <f>(CC9+CC10)/100*CD30</f>
        <v>0</v>
      </c>
      <c r="CF30" s="271">
        <f>CE30/CE67</f>
        <v>0</v>
      </c>
      <c r="CG30" s="156" t="str">
        <f>'Variante Vorgaben'!$E$42</f>
        <v>Gebindekosten</v>
      </c>
      <c r="CH30" s="187" t="str">
        <f>'Variante Vorgaben'!$F$42</f>
        <v>Klasse I+II</v>
      </c>
      <c r="CI30" s="1"/>
      <c r="CJ30" s="46" t="s">
        <v>59</v>
      </c>
      <c r="CK30" s="273">
        <f>'Variante Vorgaben'!$G$42</f>
        <v>0</v>
      </c>
      <c r="CL30" s="120">
        <f>(CJ9+CJ10)/100*CK30</f>
        <v>0</v>
      </c>
      <c r="CM30" s="271">
        <f>CL30/CL67</f>
        <v>0</v>
      </c>
      <c r="CN30" s="156" t="str">
        <f>'Variante Vorgaben'!$E$42</f>
        <v>Gebindekosten</v>
      </c>
      <c r="CO30" s="187" t="str">
        <f>'Variante Vorgaben'!$F$42</f>
        <v>Klasse I+II</v>
      </c>
      <c r="CP30" s="1"/>
      <c r="CQ30" s="46" t="s">
        <v>59</v>
      </c>
      <c r="CR30" s="273">
        <f>'Variante Vorgaben'!$G$42</f>
        <v>0</v>
      </c>
      <c r="CS30" s="120">
        <f>(CQ9+CQ10)/100*CR30</f>
        <v>0</v>
      </c>
      <c r="CT30" s="271">
        <f>CS30/CS67</f>
        <v>0</v>
      </c>
      <c r="CU30" s="156" t="str">
        <f>'Variante Vorgaben'!$E$42</f>
        <v>Gebindekosten</v>
      </c>
      <c r="CV30" s="187" t="str">
        <f>'Variante Vorgaben'!$F$42</f>
        <v>Klasse I+II</v>
      </c>
      <c r="CW30" s="1"/>
      <c r="CX30" s="46" t="s">
        <v>59</v>
      </c>
      <c r="CY30" s="273">
        <f>'Variante Vorgaben'!$G$42</f>
        <v>0</v>
      </c>
      <c r="CZ30" s="120">
        <f>(CX9+CX10)/100*CY30</f>
        <v>0</v>
      </c>
      <c r="DA30" s="271">
        <f>CZ30/CZ67</f>
        <v>0</v>
      </c>
      <c r="DB30" s="156" t="str">
        <f>'Variante Vorgaben'!$E$42</f>
        <v>Gebindekosten</v>
      </c>
      <c r="DC30" s="187" t="str">
        <f>'Variante Vorgaben'!$F$42</f>
        <v>Klasse I+II</v>
      </c>
      <c r="DD30" s="1"/>
      <c r="DE30" s="46" t="s">
        <v>59</v>
      </c>
      <c r="DF30" s="273">
        <f>'Variante Vorgaben'!$G$42</f>
        <v>0</v>
      </c>
      <c r="DG30" s="120">
        <f>(DE9+DE10)/100*DF30</f>
        <v>0</v>
      </c>
      <c r="DH30" s="271">
        <f t="shared" si="16"/>
        <v>0</v>
      </c>
      <c r="DI30" s="156" t="str">
        <f>'Variante Vorgaben'!$E$42</f>
        <v>Gebindekosten</v>
      </c>
      <c r="DJ30" s="187" t="str">
        <f>'Variante Vorgaben'!$F$42</f>
        <v>Klasse I+II</v>
      </c>
      <c r="DK30" s="1"/>
      <c r="DL30" s="46" t="s">
        <v>59</v>
      </c>
      <c r="DM30" s="273">
        <f>'Variante Vorgaben'!$G$42</f>
        <v>0</v>
      </c>
      <c r="DN30" s="120">
        <f>(DL9+DL10)/100*DM30</f>
        <v>0</v>
      </c>
      <c r="DO30" s="271">
        <f t="shared" si="17"/>
        <v>0</v>
      </c>
      <c r="DP30" s="156" t="str">
        <f>'Variante Vorgaben'!$E$42</f>
        <v>Gebindekosten</v>
      </c>
      <c r="DQ30" s="187" t="str">
        <f>'Variante Vorgaben'!$F$42</f>
        <v>Klasse I+II</v>
      </c>
      <c r="DR30" s="1"/>
      <c r="DS30" s="46" t="s">
        <v>59</v>
      </c>
      <c r="DT30" s="273">
        <f>'Variante Vorgaben'!$G$42</f>
        <v>0</v>
      </c>
      <c r="DU30" s="120">
        <f>(DS9+DS10)/100*DT30</f>
        <v>0</v>
      </c>
      <c r="DV30" s="271">
        <f t="shared" si="18"/>
        <v>0</v>
      </c>
      <c r="DW30" s="156" t="str">
        <f>'Variante Vorgaben'!$E$42</f>
        <v>Gebindekosten</v>
      </c>
      <c r="DX30" s="187" t="str">
        <f>'Variante Vorgaben'!$F$42</f>
        <v>Klasse I+II</v>
      </c>
      <c r="DY30" s="1"/>
      <c r="DZ30" s="46" t="s">
        <v>59</v>
      </c>
      <c r="EA30" s="273">
        <f>'Variante Vorgaben'!$G$42</f>
        <v>0</v>
      </c>
      <c r="EB30" s="120">
        <f>(DZ9+DZ10)/100*EA30</f>
        <v>0</v>
      </c>
      <c r="EC30" s="271">
        <f t="shared" si="19"/>
        <v>0</v>
      </c>
      <c r="ED30" s="156" t="str">
        <f>'Variante Vorgaben'!$E$42</f>
        <v>Gebindekosten</v>
      </c>
      <c r="EE30" s="187" t="str">
        <f>'Variante Vorgaben'!$F$42</f>
        <v>Klasse I+II</v>
      </c>
      <c r="EF30" s="1"/>
      <c r="EG30" s="46" t="s">
        <v>59</v>
      </c>
      <c r="EH30" s="273">
        <f>'Variante Vorgaben'!$G$42</f>
        <v>0</v>
      </c>
      <c r="EI30" s="120">
        <f>(EG9+EG10)/100*EH30</f>
        <v>0</v>
      </c>
      <c r="EJ30" s="271">
        <f t="shared" si="20"/>
        <v>0</v>
      </c>
    </row>
    <row r="31" spans="1:140" s="23" customFormat="1" x14ac:dyDescent="0.2">
      <c r="A31" s="156" t="str">
        <f>'Variante Vorgaben'!$E$43</f>
        <v>Sortierkosten</v>
      </c>
      <c r="B31" s="1" t="str">
        <f>'Variante Vorgaben'!$F$43</f>
        <v>Klasse I+II</v>
      </c>
      <c r="C31" s="1"/>
      <c r="D31" s="46" t="s">
        <v>59</v>
      </c>
      <c r="E31" s="62">
        <f>'Variante Vorgaben'!$G$43</f>
        <v>0</v>
      </c>
      <c r="F31" s="120">
        <f>(D9+D10)/100*E31</f>
        <v>0</v>
      </c>
      <c r="G31" s="271">
        <f>F31/F67</f>
        <v>0</v>
      </c>
      <c r="H31" s="156" t="str">
        <f>'Variante Vorgaben'!$E$43</f>
        <v>Sortierkosten</v>
      </c>
      <c r="I31" s="1" t="str">
        <f>'Variante Vorgaben'!$F$43</f>
        <v>Klasse I+II</v>
      </c>
      <c r="J31" s="1"/>
      <c r="K31" s="46" t="s">
        <v>59</v>
      </c>
      <c r="L31" s="62">
        <f>'Variante Vorgaben'!$G$43</f>
        <v>0</v>
      </c>
      <c r="M31" s="120">
        <f>(K9+K10)/100*L31</f>
        <v>0</v>
      </c>
      <c r="N31" s="271">
        <f>M31/M67</f>
        <v>0</v>
      </c>
      <c r="O31" s="156" t="str">
        <f>'Variante Vorgaben'!$E$43</f>
        <v>Sortierkosten</v>
      </c>
      <c r="P31" s="1" t="str">
        <f>'Variante Vorgaben'!$F$43</f>
        <v>Klasse I+II</v>
      </c>
      <c r="Q31" s="1"/>
      <c r="R31" s="46" t="s">
        <v>59</v>
      </c>
      <c r="S31" s="62">
        <f>'Variante Vorgaben'!$G$43</f>
        <v>0</v>
      </c>
      <c r="T31" s="120">
        <f>(R9+R10)/100*S31</f>
        <v>0</v>
      </c>
      <c r="U31" s="271">
        <f>T31/T67</f>
        <v>0</v>
      </c>
      <c r="V31" s="156" t="str">
        <f>'Variante Vorgaben'!$E$43</f>
        <v>Sortierkosten</v>
      </c>
      <c r="W31" s="1" t="str">
        <f>'Variante Vorgaben'!$F$43</f>
        <v>Klasse I+II</v>
      </c>
      <c r="X31" s="1"/>
      <c r="Y31" s="46" t="s">
        <v>59</v>
      </c>
      <c r="Z31" s="62">
        <f>'Variante Vorgaben'!$G$43</f>
        <v>0</v>
      </c>
      <c r="AA31" s="120">
        <f>(Y9+Y10)/100*Z31</f>
        <v>0</v>
      </c>
      <c r="AB31" s="271">
        <f>AA31/AA67</f>
        <v>0</v>
      </c>
      <c r="AC31" s="156" t="str">
        <f>'Variante Vorgaben'!$E$43</f>
        <v>Sortierkosten</v>
      </c>
      <c r="AD31" s="1" t="str">
        <f>'Variante Vorgaben'!$F$43</f>
        <v>Klasse I+II</v>
      </c>
      <c r="AE31" s="1"/>
      <c r="AF31" s="46" t="s">
        <v>59</v>
      </c>
      <c r="AG31" s="62">
        <f>'Variante Vorgaben'!$G$43</f>
        <v>0</v>
      </c>
      <c r="AH31" s="120">
        <f>(AF9+AF10)/100*AG31</f>
        <v>0</v>
      </c>
      <c r="AI31" s="271">
        <f>AH31/AH67</f>
        <v>0</v>
      </c>
      <c r="AJ31" s="156" t="str">
        <f>'Variante Vorgaben'!$E$43</f>
        <v>Sortierkosten</v>
      </c>
      <c r="AK31" s="1" t="str">
        <f>'Variante Vorgaben'!$F$43</f>
        <v>Klasse I+II</v>
      </c>
      <c r="AL31" s="1"/>
      <c r="AM31" s="46" t="s">
        <v>59</v>
      </c>
      <c r="AN31" s="62">
        <f>'Variante Vorgaben'!$G$43</f>
        <v>0</v>
      </c>
      <c r="AO31" s="120">
        <f>(AM9+AM10)/100*AN31</f>
        <v>0</v>
      </c>
      <c r="AP31" s="271">
        <f>AO31/AO67</f>
        <v>0</v>
      </c>
      <c r="AQ31" s="156" t="str">
        <f>'Variante Vorgaben'!$E$43</f>
        <v>Sortierkosten</v>
      </c>
      <c r="AR31" s="1" t="str">
        <f>'Variante Vorgaben'!$F$43</f>
        <v>Klasse I+II</v>
      </c>
      <c r="AS31" s="1"/>
      <c r="AT31" s="46" t="s">
        <v>59</v>
      </c>
      <c r="AU31" s="62">
        <f>'Variante Vorgaben'!$G$43</f>
        <v>0</v>
      </c>
      <c r="AV31" s="120">
        <f>(AT9+AT10)/100*AU31</f>
        <v>0</v>
      </c>
      <c r="AW31" s="271">
        <f>AV31/AV67</f>
        <v>0</v>
      </c>
      <c r="AX31" s="156" t="str">
        <f>'Variante Vorgaben'!$E$43</f>
        <v>Sortierkosten</v>
      </c>
      <c r="AY31" s="1" t="str">
        <f>'Variante Vorgaben'!$F$43</f>
        <v>Klasse I+II</v>
      </c>
      <c r="AZ31" s="1"/>
      <c r="BA31" s="46" t="s">
        <v>59</v>
      </c>
      <c r="BB31" s="62">
        <f>'Variante Vorgaben'!$G$43</f>
        <v>0</v>
      </c>
      <c r="BC31" s="120">
        <f>(BA9+BA10)/100*BB31</f>
        <v>0</v>
      </c>
      <c r="BD31" s="271">
        <f>BC31/BC67</f>
        <v>0</v>
      </c>
      <c r="BE31" s="156" t="str">
        <f>'Variante Vorgaben'!$E$43</f>
        <v>Sortierkosten</v>
      </c>
      <c r="BF31" s="1" t="str">
        <f>'Variante Vorgaben'!$F$43</f>
        <v>Klasse I+II</v>
      </c>
      <c r="BG31" s="1"/>
      <c r="BH31" s="46" t="s">
        <v>59</v>
      </c>
      <c r="BI31" s="62">
        <f>'Variante Vorgaben'!$G$43</f>
        <v>0</v>
      </c>
      <c r="BJ31" s="120">
        <f>(BH9+BH10)/100*BI31</f>
        <v>0</v>
      </c>
      <c r="BK31" s="271">
        <f>BJ31/BJ67</f>
        <v>0</v>
      </c>
      <c r="BL31" s="156" t="str">
        <f>'Variante Vorgaben'!$E$43</f>
        <v>Sortierkosten</v>
      </c>
      <c r="BM31" s="1" t="str">
        <f>'Variante Vorgaben'!$F$43</f>
        <v>Klasse I+II</v>
      </c>
      <c r="BN31" s="1"/>
      <c r="BO31" s="46" t="s">
        <v>59</v>
      </c>
      <c r="BP31" s="62">
        <f>'Variante Vorgaben'!$G$43</f>
        <v>0</v>
      </c>
      <c r="BQ31" s="120">
        <f>(BO9+BO10)/100*BP31</f>
        <v>0</v>
      </c>
      <c r="BR31" s="271">
        <f>BQ31/BQ67</f>
        <v>0</v>
      </c>
      <c r="BS31" s="156" t="str">
        <f>'Variante Vorgaben'!$E$43</f>
        <v>Sortierkosten</v>
      </c>
      <c r="BT31" s="1" t="str">
        <f>'Variante Vorgaben'!$F$43</f>
        <v>Klasse I+II</v>
      </c>
      <c r="BU31" s="1"/>
      <c r="BV31" s="46" t="s">
        <v>59</v>
      </c>
      <c r="BW31" s="62">
        <f>'Variante Vorgaben'!$G$43</f>
        <v>0</v>
      </c>
      <c r="BX31" s="120">
        <f>(BV9+BV10)/100*BW31</f>
        <v>0</v>
      </c>
      <c r="BY31" s="271">
        <f>BX31/BX67</f>
        <v>0</v>
      </c>
      <c r="BZ31" s="156" t="str">
        <f>'Variante Vorgaben'!$E$43</f>
        <v>Sortierkosten</v>
      </c>
      <c r="CA31" s="1" t="str">
        <f>'Variante Vorgaben'!$F$43</f>
        <v>Klasse I+II</v>
      </c>
      <c r="CB31" s="1"/>
      <c r="CC31" s="46" t="s">
        <v>59</v>
      </c>
      <c r="CD31" s="62">
        <f>'Variante Vorgaben'!$G$43</f>
        <v>0</v>
      </c>
      <c r="CE31" s="120">
        <f>(CC9+CC10)/100*CD31</f>
        <v>0</v>
      </c>
      <c r="CF31" s="271">
        <f>CE31/CE67</f>
        <v>0</v>
      </c>
      <c r="CG31" s="156" t="str">
        <f>'Variante Vorgaben'!$E$43</f>
        <v>Sortierkosten</v>
      </c>
      <c r="CH31" s="1" t="str">
        <f>'Variante Vorgaben'!$F$43</f>
        <v>Klasse I+II</v>
      </c>
      <c r="CI31" s="1"/>
      <c r="CJ31" s="46" t="s">
        <v>59</v>
      </c>
      <c r="CK31" s="62">
        <f>'Variante Vorgaben'!$G$43</f>
        <v>0</v>
      </c>
      <c r="CL31" s="120">
        <f>(CJ9+CJ10)/100*CK31</f>
        <v>0</v>
      </c>
      <c r="CM31" s="271">
        <f>CL31/CL67</f>
        <v>0</v>
      </c>
      <c r="CN31" s="156" t="str">
        <f>'Variante Vorgaben'!$E$43</f>
        <v>Sortierkosten</v>
      </c>
      <c r="CO31" s="1" t="str">
        <f>'Variante Vorgaben'!$F$43</f>
        <v>Klasse I+II</v>
      </c>
      <c r="CP31" s="1"/>
      <c r="CQ31" s="46" t="s">
        <v>59</v>
      </c>
      <c r="CR31" s="62">
        <f>'Variante Vorgaben'!$G$43</f>
        <v>0</v>
      </c>
      <c r="CS31" s="120">
        <f>(CQ9+CQ10)/100*CR31</f>
        <v>0</v>
      </c>
      <c r="CT31" s="271">
        <f>CS31/CS67</f>
        <v>0</v>
      </c>
      <c r="CU31" s="156" t="str">
        <f>'Variante Vorgaben'!$E$43</f>
        <v>Sortierkosten</v>
      </c>
      <c r="CV31" s="1" t="str">
        <f>'Variante Vorgaben'!$F$43</f>
        <v>Klasse I+II</v>
      </c>
      <c r="CW31" s="1"/>
      <c r="CX31" s="46" t="s">
        <v>59</v>
      </c>
      <c r="CY31" s="62">
        <f>'Variante Vorgaben'!$G$43</f>
        <v>0</v>
      </c>
      <c r="CZ31" s="120">
        <f>(CX9+CX10)/100*CY31</f>
        <v>0</v>
      </c>
      <c r="DA31" s="271">
        <f>CZ31/CZ67</f>
        <v>0</v>
      </c>
      <c r="DB31" s="156" t="str">
        <f>'Variante Vorgaben'!$E$43</f>
        <v>Sortierkosten</v>
      </c>
      <c r="DC31" s="1" t="str">
        <f>'Variante Vorgaben'!$F$43</f>
        <v>Klasse I+II</v>
      </c>
      <c r="DD31" s="1"/>
      <c r="DE31" s="46" t="s">
        <v>59</v>
      </c>
      <c r="DF31" s="62">
        <f>'Variante Vorgaben'!$G$43</f>
        <v>0</v>
      </c>
      <c r="DG31" s="120">
        <f>(DE9+DE10)/100*DF31</f>
        <v>0</v>
      </c>
      <c r="DH31" s="271">
        <f t="shared" si="16"/>
        <v>0</v>
      </c>
      <c r="DI31" s="156" t="str">
        <f>'Variante Vorgaben'!$E$43</f>
        <v>Sortierkosten</v>
      </c>
      <c r="DJ31" s="1" t="str">
        <f>'Variante Vorgaben'!$F$43</f>
        <v>Klasse I+II</v>
      </c>
      <c r="DK31" s="1"/>
      <c r="DL31" s="46" t="s">
        <v>59</v>
      </c>
      <c r="DM31" s="62">
        <f>'Variante Vorgaben'!$G$43</f>
        <v>0</v>
      </c>
      <c r="DN31" s="120">
        <f>(DL9+DL10)/100*DM31</f>
        <v>0</v>
      </c>
      <c r="DO31" s="271">
        <f t="shared" si="17"/>
        <v>0</v>
      </c>
      <c r="DP31" s="156" t="str">
        <f>'Variante Vorgaben'!$E$43</f>
        <v>Sortierkosten</v>
      </c>
      <c r="DQ31" s="1" t="str">
        <f>'Variante Vorgaben'!$F$43</f>
        <v>Klasse I+II</v>
      </c>
      <c r="DR31" s="1"/>
      <c r="DS31" s="46" t="s">
        <v>59</v>
      </c>
      <c r="DT31" s="62">
        <f>'Variante Vorgaben'!$G$43</f>
        <v>0</v>
      </c>
      <c r="DU31" s="120">
        <f>(DS9+DS10)/100*DT31</f>
        <v>0</v>
      </c>
      <c r="DV31" s="271">
        <f t="shared" si="18"/>
        <v>0</v>
      </c>
      <c r="DW31" s="156" t="str">
        <f>'Variante Vorgaben'!$E$43</f>
        <v>Sortierkosten</v>
      </c>
      <c r="DX31" s="1" t="str">
        <f>'Variante Vorgaben'!$F$43</f>
        <v>Klasse I+II</v>
      </c>
      <c r="DY31" s="1"/>
      <c r="DZ31" s="46" t="s">
        <v>59</v>
      </c>
      <c r="EA31" s="62">
        <f>'Variante Vorgaben'!$G$43</f>
        <v>0</v>
      </c>
      <c r="EB31" s="120">
        <f>(DZ9+DZ10)/100*EA31</f>
        <v>0</v>
      </c>
      <c r="EC31" s="271">
        <f t="shared" si="19"/>
        <v>0</v>
      </c>
      <c r="ED31" s="156" t="str">
        <f>'Variante Vorgaben'!$E$43</f>
        <v>Sortierkosten</v>
      </c>
      <c r="EE31" s="1" t="str">
        <f>'Variante Vorgaben'!$F$43</f>
        <v>Klasse I+II</v>
      </c>
      <c r="EF31" s="1"/>
      <c r="EG31" s="46" t="s">
        <v>59</v>
      </c>
      <c r="EH31" s="62">
        <f>'Variante Vorgaben'!$G$43</f>
        <v>0</v>
      </c>
      <c r="EI31" s="120">
        <f>(EG9+EG10)/100*EH31</f>
        <v>0</v>
      </c>
      <c r="EJ31" s="271">
        <f t="shared" si="20"/>
        <v>0</v>
      </c>
    </row>
    <row r="32" spans="1:140" s="1" customFormat="1" ht="13.5" thickBot="1" x14ac:dyDescent="0.25">
      <c r="A32" s="156"/>
      <c r="B32" s="1" t="str">
        <f>'Variante Vorgaben'!$E$15</f>
        <v>Mostobst Sortierabgang</v>
      </c>
      <c r="D32" s="46" t="s">
        <v>59</v>
      </c>
      <c r="E32" s="62">
        <f>'Variante Vorgaben'!$G$44</f>
        <v>0</v>
      </c>
      <c r="F32" s="923">
        <f>(E32/100)*('Variante Vorgaben'!$D$95*D12)</f>
        <v>0</v>
      </c>
      <c r="G32" s="271">
        <f>F32/F67</f>
        <v>0</v>
      </c>
      <c r="H32" s="156"/>
      <c r="I32" s="1" t="str">
        <f>'Variante Vorgaben'!$E$15</f>
        <v>Mostobst Sortierabgang</v>
      </c>
      <c r="K32" s="46" t="s">
        <v>59</v>
      </c>
      <c r="L32" s="62">
        <f>'Variante Vorgaben'!$G$44</f>
        <v>0</v>
      </c>
      <c r="M32" s="923">
        <f>(L32/100)*('Variante Vorgaben'!$D$95*K12)</f>
        <v>0</v>
      </c>
      <c r="N32" s="271">
        <f>M32/M67</f>
        <v>0</v>
      </c>
      <c r="O32" s="156"/>
      <c r="P32" s="1" t="str">
        <f>'Variante Vorgaben'!$E$15</f>
        <v>Mostobst Sortierabgang</v>
      </c>
      <c r="R32" s="46" t="s">
        <v>59</v>
      </c>
      <c r="S32" s="62">
        <f>'Variante Vorgaben'!$G$44</f>
        <v>0</v>
      </c>
      <c r="T32" s="923">
        <f>(S32/100)*('Variante Vorgaben'!$D$95*R12)</f>
        <v>0</v>
      </c>
      <c r="U32" s="271">
        <f>T32/T67</f>
        <v>0</v>
      </c>
      <c r="V32" s="156"/>
      <c r="W32" s="1" t="str">
        <f>'Variante Vorgaben'!$E$15</f>
        <v>Mostobst Sortierabgang</v>
      </c>
      <c r="Y32" s="46" t="s">
        <v>59</v>
      </c>
      <c r="Z32" s="62">
        <f>'Variante Vorgaben'!$G$44</f>
        <v>0</v>
      </c>
      <c r="AA32" s="923">
        <f>(Z32/100)*('Variante Vorgaben'!$D$95*Y12)</f>
        <v>0</v>
      </c>
      <c r="AB32" s="271">
        <f>AA32/AA67</f>
        <v>0</v>
      </c>
      <c r="AC32" s="156"/>
      <c r="AD32" s="1" t="str">
        <f>'Variante Vorgaben'!$E$15</f>
        <v>Mostobst Sortierabgang</v>
      </c>
      <c r="AF32" s="46" t="s">
        <v>59</v>
      </c>
      <c r="AG32" s="62">
        <f>'Variante Vorgaben'!$G$44</f>
        <v>0</v>
      </c>
      <c r="AH32" s="923">
        <f>(AG32/100)*('Variante Vorgaben'!$D$95*AF12)</f>
        <v>0</v>
      </c>
      <c r="AI32" s="271">
        <f>AH32/AH67</f>
        <v>0</v>
      </c>
      <c r="AJ32" s="156"/>
      <c r="AK32" s="1" t="str">
        <f>'Variante Vorgaben'!$E$15</f>
        <v>Mostobst Sortierabgang</v>
      </c>
      <c r="AM32" s="46" t="s">
        <v>59</v>
      </c>
      <c r="AN32" s="62">
        <f>'Variante Vorgaben'!$G$44</f>
        <v>0</v>
      </c>
      <c r="AO32" s="923">
        <f>(AN32/100)*('Variante Vorgaben'!$D$95*AM12)</f>
        <v>0</v>
      </c>
      <c r="AP32" s="271">
        <f>AO32/AO67</f>
        <v>0</v>
      </c>
      <c r="AQ32" s="156"/>
      <c r="AR32" s="1" t="str">
        <f>'Variante Vorgaben'!$E$15</f>
        <v>Mostobst Sortierabgang</v>
      </c>
      <c r="AT32" s="46" t="s">
        <v>59</v>
      </c>
      <c r="AU32" s="62">
        <f>'Variante Vorgaben'!$G$44</f>
        <v>0</v>
      </c>
      <c r="AV32" s="923">
        <f>(AU32/100)*('Variante Vorgaben'!$D$95*AT12)</f>
        <v>0</v>
      </c>
      <c r="AW32" s="271">
        <f>AV32/AV67</f>
        <v>0</v>
      </c>
      <c r="AX32" s="156"/>
      <c r="AY32" s="1" t="str">
        <f>'Variante Vorgaben'!$E$15</f>
        <v>Mostobst Sortierabgang</v>
      </c>
      <c r="BA32" s="46" t="s">
        <v>59</v>
      </c>
      <c r="BB32" s="62">
        <f>'Variante Vorgaben'!$G$44</f>
        <v>0</v>
      </c>
      <c r="BC32" s="923">
        <f>(BB32/100)*('Variante Vorgaben'!$D$95*BA12)</f>
        <v>0</v>
      </c>
      <c r="BD32" s="271">
        <f>BC32/BC67</f>
        <v>0</v>
      </c>
      <c r="BE32" s="156"/>
      <c r="BF32" s="1" t="str">
        <f>'Variante Vorgaben'!$E$15</f>
        <v>Mostobst Sortierabgang</v>
      </c>
      <c r="BH32" s="46" t="s">
        <v>59</v>
      </c>
      <c r="BI32" s="62">
        <f>'Variante Vorgaben'!$G$44</f>
        <v>0</v>
      </c>
      <c r="BJ32" s="923">
        <f>(BI32/100)*('Variante Vorgaben'!$D$95*BH12)</f>
        <v>0</v>
      </c>
      <c r="BK32" s="271">
        <f>BJ32/BJ67</f>
        <v>0</v>
      </c>
      <c r="BL32" s="156"/>
      <c r="BM32" s="1" t="str">
        <f>'Variante Vorgaben'!$E$15</f>
        <v>Mostobst Sortierabgang</v>
      </c>
      <c r="BO32" s="46" t="s">
        <v>59</v>
      </c>
      <c r="BP32" s="62">
        <f>'Variante Vorgaben'!$G$44</f>
        <v>0</v>
      </c>
      <c r="BQ32" s="923">
        <f>(BP32/100)*('Variante Vorgaben'!$D$95*BO12)</f>
        <v>0</v>
      </c>
      <c r="BR32" s="271">
        <f>BQ32/BQ67</f>
        <v>0</v>
      </c>
      <c r="BS32" s="156"/>
      <c r="BT32" s="1" t="str">
        <f>'Variante Vorgaben'!$E$15</f>
        <v>Mostobst Sortierabgang</v>
      </c>
      <c r="BV32" s="46" t="s">
        <v>59</v>
      </c>
      <c r="BW32" s="62">
        <f>'Variante Vorgaben'!$G$44</f>
        <v>0</v>
      </c>
      <c r="BX32" s="923">
        <f>(BW32/100)*('Variante Vorgaben'!$D$95*BV12)</f>
        <v>0</v>
      </c>
      <c r="BY32" s="271">
        <f>BX32/BX67</f>
        <v>0</v>
      </c>
      <c r="BZ32" s="156"/>
      <c r="CA32" s="1" t="str">
        <f>'Variante Vorgaben'!$E$15</f>
        <v>Mostobst Sortierabgang</v>
      </c>
      <c r="CC32" s="46" t="s">
        <v>59</v>
      </c>
      <c r="CD32" s="62">
        <f>'Variante Vorgaben'!$G$44</f>
        <v>0</v>
      </c>
      <c r="CE32" s="923">
        <f>(CD32/100)*('Variante Vorgaben'!$D$95*CC12)</f>
        <v>0</v>
      </c>
      <c r="CF32" s="271">
        <f>CE32/CE67</f>
        <v>0</v>
      </c>
      <c r="CG32" s="156"/>
      <c r="CH32" s="1" t="str">
        <f>'Variante Vorgaben'!$E$15</f>
        <v>Mostobst Sortierabgang</v>
      </c>
      <c r="CJ32" s="46" t="s">
        <v>59</v>
      </c>
      <c r="CK32" s="62">
        <f>'Variante Vorgaben'!$G$44</f>
        <v>0</v>
      </c>
      <c r="CL32" s="923">
        <f>(CK32/100)*('Variante Vorgaben'!$D$95*CJ12)</f>
        <v>0</v>
      </c>
      <c r="CM32" s="271">
        <f>CL32/CL67</f>
        <v>0</v>
      </c>
      <c r="CN32" s="156"/>
      <c r="CO32" s="1" t="str">
        <f>'Variante Vorgaben'!$E$15</f>
        <v>Mostobst Sortierabgang</v>
      </c>
      <c r="CQ32" s="46" t="s">
        <v>59</v>
      </c>
      <c r="CR32" s="62">
        <f>'Variante Vorgaben'!$G$44</f>
        <v>0</v>
      </c>
      <c r="CS32" s="923">
        <f>(CR32/100)*('Variante Vorgaben'!$D$95*CQ12)</f>
        <v>0</v>
      </c>
      <c r="CT32" s="271">
        <f>CS32/CS67</f>
        <v>0</v>
      </c>
      <c r="CU32" s="156"/>
      <c r="CV32" s="1" t="str">
        <f>'Variante Vorgaben'!$E$15</f>
        <v>Mostobst Sortierabgang</v>
      </c>
      <c r="CX32" s="46" t="s">
        <v>59</v>
      </c>
      <c r="CY32" s="62">
        <f>'Variante Vorgaben'!$G$44</f>
        <v>0</v>
      </c>
      <c r="CZ32" s="923">
        <f>(CY32/100)*('Variante Vorgaben'!$D$95*CX12)</f>
        <v>0</v>
      </c>
      <c r="DA32" s="271">
        <f>CZ32/CZ67</f>
        <v>0</v>
      </c>
      <c r="DB32" s="156"/>
      <c r="DC32" s="1" t="str">
        <f>'Variante Vorgaben'!$E$15</f>
        <v>Mostobst Sortierabgang</v>
      </c>
      <c r="DE32" s="46" t="s">
        <v>59</v>
      </c>
      <c r="DF32" s="62">
        <f>'Variante Vorgaben'!$G$44</f>
        <v>0</v>
      </c>
      <c r="DG32" s="923">
        <f>(DF32/100)*('Variante Vorgaben'!$D$95*DE12)</f>
        <v>0</v>
      </c>
      <c r="DH32" s="271">
        <f t="shared" si="16"/>
        <v>0</v>
      </c>
      <c r="DI32" s="156"/>
      <c r="DJ32" s="1" t="str">
        <f>'Variante Vorgaben'!$E$15</f>
        <v>Mostobst Sortierabgang</v>
      </c>
      <c r="DL32" s="46" t="s">
        <v>59</v>
      </c>
      <c r="DM32" s="62">
        <f>'Variante Vorgaben'!$G$44</f>
        <v>0</v>
      </c>
      <c r="DN32" s="923">
        <f>(DM32/100)*('Variante Vorgaben'!$D$95*DL12)</f>
        <v>0</v>
      </c>
      <c r="DO32" s="271">
        <f t="shared" si="17"/>
        <v>0</v>
      </c>
      <c r="DP32" s="156"/>
      <c r="DQ32" s="1" t="str">
        <f>'Variante Vorgaben'!$E$15</f>
        <v>Mostobst Sortierabgang</v>
      </c>
      <c r="DS32" s="46" t="s">
        <v>59</v>
      </c>
      <c r="DT32" s="62">
        <f>'Variante Vorgaben'!$G$44</f>
        <v>0</v>
      </c>
      <c r="DU32" s="923">
        <f>(DT32/100)*('Variante Vorgaben'!$D$95*DS12)</f>
        <v>0</v>
      </c>
      <c r="DV32" s="271">
        <f t="shared" si="18"/>
        <v>0</v>
      </c>
      <c r="DW32" s="156"/>
      <c r="DX32" s="1" t="str">
        <f>'Variante Vorgaben'!$E$15</f>
        <v>Mostobst Sortierabgang</v>
      </c>
      <c r="DZ32" s="46" t="s">
        <v>59</v>
      </c>
      <c r="EA32" s="62">
        <f>'Variante Vorgaben'!$G$44</f>
        <v>0</v>
      </c>
      <c r="EB32" s="923">
        <f>(EA32/100)*('Variante Vorgaben'!$D$95*DZ12)</f>
        <v>0</v>
      </c>
      <c r="EC32" s="271">
        <f t="shared" si="19"/>
        <v>0</v>
      </c>
      <c r="ED32" s="156"/>
      <c r="EE32" s="1" t="str">
        <f>'Variante Vorgaben'!$E$15</f>
        <v>Mostobst Sortierabgang</v>
      </c>
      <c r="EG32" s="46" t="s">
        <v>59</v>
      </c>
      <c r="EH32" s="62">
        <f>'Variante Vorgaben'!$G$44</f>
        <v>0</v>
      </c>
      <c r="EI32" s="923">
        <f>(EH32/100)*('Variante Vorgaben'!$D$95*EG12)</f>
        <v>0</v>
      </c>
      <c r="EJ32" s="271">
        <f t="shared" si="20"/>
        <v>0</v>
      </c>
    </row>
    <row r="33" spans="1:256" s="1" customFormat="1" x14ac:dyDescent="0.2">
      <c r="A33" s="611"/>
      <c r="E33" s="62"/>
      <c r="F33" s="77">
        <f>SUM(F28:F32)</f>
        <v>325</v>
      </c>
      <c r="G33" s="926">
        <f>F33/F67</f>
        <v>3.2007492973612314E-2</v>
      </c>
      <c r="H33" s="611"/>
      <c r="L33" s="62"/>
      <c r="M33" s="77">
        <f>SUM(M28:M32)</f>
        <v>332.5</v>
      </c>
      <c r="N33" s="926">
        <f>M33/M67</f>
        <v>2.6718392653210184E-2</v>
      </c>
      <c r="O33" s="611"/>
      <c r="S33" s="62"/>
      <c r="T33" s="77">
        <f>SUM(T28:T32)</f>
        <v>337.5</v>
      </c>
      <c r="U33" s="926">
        <f>T33/T67</f>
        <v>1.8396104166532035E-2</v>
      </c>
      <c r="V33" s="611"/>
      <c r="Z33" s="62"/>
      <c r="AA33" s="77">
        <f>SUM(AA28:AA32)</f>
        <v>350</v>
      </c>
      <c r="AB33" s="926">
        <f>AA33/AA67</f>
        <v>1.7202945460327128E-2</v>
      </c>
      <c r="AC33" s="611"/>
      <c r="AG33" s="62"/>
      <c r="AH33" s="77">
        <f>SUM(AH28:AH32)</f>
        <v>375</v>
      </c>
      <c r="AI33" s="926">
        <f>AH33/AH67</f>
        <v>1.4106915376305654E-2</v>
      </c>
      <c r="AJ33" s="611"/>
      <c r="AN33" s="62"/>
      <c r="AO33" s="77">
        <f>SUM(AO28:AO32)</f>
        <v>405</v>
      </c>
      <c r="AP33" s="926">
        <f>AO33/AO67</f>
        <v>1.3793346515023243E-2</v>
      </c>
      <c r="AQ33" s="611"/>
      <c r="AU33" s="62"/>
      <c r="AV33" s="77">
        <f>SUM(AV28:AV32)</f>
        <v>405</v>
      </c>
      <c r="AW33" s="926">
        <f>AV33/AV67</f>
        <v>1.3792103692161863E-2</v>
      </c>
      <c r="AX33" s="611"/>
      <c r="BB33" s="62"/>
      <c r="BC33" s="77">
        <f>SUM(BC28:BC32)</f>
        <v>405</v>
      </c>
      <c r="BD33" s="926">
        <f>BC33/BC67</f>
        <v>1.3790849910870994E-2</v>
      </c>
      <c r="BE33" s="611"/>
      <c r="BI33" s="62"/>
      <c r="BJ33" s="77">
        <f>SUM(BJ28:BJ32)</f>
        <v>405</v>
      </c>
      <c r="BK33" s="926">
        <f>BJ33/BJ67</f>
        <v>1.3789585076565714E-2</v>
      </c>
      <c r="BL33" s="611"/>
      <c r="BP33" s="62"/>
      <c r="BQ33" s="77">
        <f>SUM(BQ28:BQ32)</f>
        <v>405</v>
      </c>
      <c r="BR33" s="926">
        <f>BQ33/BQ67</f>
        <v>1.3788309093881203E-2</v>
      </c>
      <c r="BS33" s="611"/>
      <c r="BW33" s="62"/>
      <c r="BX33" s="77">
        <f>SUM(BX28:BX32)</f>
        <v>405</v>
      </c>
      <c r="BY33" s="926">
        <f>BX33/BX67</f>
        <v>1.3787021866666981E-2</v>
      </c>
      <c r="BZ33" s="611"/>
      <c r="CD33" s="62"/>
      <c r="CE33" s="77">
        <f>SUM(CE28:CE32)</f>
        <v>405</v>
      </c>
      <c r="CF33" s="926">
        <f>CE33/CE67</f>
        <v>1.3785723297981093E-2</v>
      </c>
      <c r="CG33" s="611"/>
      <c r="CK33" s="62"/>
      <c r="CL33" s="77">
        <f>SUM(CL28:CL32)</f>
        <v>405</v>
      </c>
      <c r="CM33" s="926">
        <f>CL33/CL67</f>
        <v>1.3784413290084277E-2</v>
      </c>
      <c r="CN33" s="611"/>
      <c r="CR33" s="62"/>
      <c r="CS33" s="77">
        <f>SUM(CS28:CS32)</f>
        <v>405</v>
      </c>
      <c r="CT33" s="926">
        <f>CS33/CS67</f>
        <v>1.37830917444341E-2</v>
      </c>
      <c r="CU33" s="611"/>
      <c r="CY33" s="62"/>
      <c r="CZ33" s="77">
        <f>SUM(CZ28:CZ32)</f>
        <v>405</v>
      </c>
      <c r="DA33" s="926">
        <f>CZ33/CZ67</f>
        <v>1.3781758561679059E-2</v>
      </c>
      <c r="DB33" s="611"/>
      <c r="DF33" s="62"/>
      <c r="DG33" s="77">
        <f>SUM(DG28:DG32)</f>
        <v>405</v>
      </c>
      <c r="DH33" s="926">
        <f t="shared" si="16"/>
        <v>1.3780413641652658E-2</v>
      </c>
      <c r="DI33" s="611"/>
      <c r="DM33" s="62"/>
      <c r="DN33" s="77">
        <f>SUM(DN28:DN32)</f>
        <v>405</v>
      </c>
      <c r="DO33" s="926">
        <f t="shared" si="17"/>
        <v>1.3779056883367452E-2</v>
      </c>
      <c r="DP33" s="611"/>
      <c r="DT33" s="62"/>
      <c r="DU33" s="77">
        <f>SUM(DU28:DU32)</f>
        <v>405</v>
      </c>
      <c r="DV33" s="926">
        <f t="shared" si="18"/>
        <v>1.3777688185009053E-2</v>
      </c>
      <c r="DW33" s="611"/>
      <c r="EA33" s="62"/>
      <c r="EB33" s="77">
        <f>SUM(EB28:EB32)</f>
        <v>405</v>
      </c>
      <c r="EC33" s="926">
        <f t="shared" si="19"/>
        <v>1.3776307443930127E-2</v>
      </c>
      <c r="ED33" s="611"/>
      <c r="EH33" s="62"/>
      <c r="EI33" s="77">
        <f>SUM(EI28:EI32)</f>
        <v>405</v>
      </c>
      <c r="EJ33" s="926">
        <f t="shared" si="20"/>
        <v>1.1440267118650319E-2</v>
      </c>
    </row>
    <row r="34" spans="1:256" s="1" customFormat="1" x14ac:dyDescent="0.2">
      <c r="A34" s="156"/>
      <c r="B34" s="223"/>
      <c r="C34" s="235"/>
      <c r="D34" s="46"/>
      <c r="E34" s="273"/>
      <c r="F34" s="239"/>
      <c r="G34" s="271"/>
      <c r="H34" s="156"/>
      <c r="I34" s="223"/>
      <c r="J34" s="235"/>
      <c r="K34" s="46"/>
      <c r="L34" s="273"/>
      <c r="M34" s="239"/>
      <c r="N34" s="271"/>
      <c r="O34" s="156"/>
      <c r="P34" s="223"/>
      <c r="Q34" s="235"/>
      <c r="R34" s="46"/>
      <c r="S34" s="273"/>
      <c r="T34" s="239"/>
      <c r="U34" s="271"/>
      <c r="V34" s="156"/>
      <c r="W34" s="223"/>
      <c r="X34" s="235"/>
      <c r="Y34" s="46"/>
      <c r="Z34" s="273"/>
      <c r="AA34" s="239"/>
      <c r="AB34" s="271"/>
      <c r="AC34" s="156"/>
      <c r="AD34" s="223"/>
      <c r="AE34" s="235"/>
      <c r="AF34" s="46"/>
      <c r="AG34" s="273"/>
      <c r="AH34" s="239"/>
      <c r="AI34" s="271"/>
      <c r="AJ34" s="156"/>
      <c r="AK34" s="223"/>
      <c r="AL34" s="235"/>
      <c r="AM34" s="46"/>
      <c r="AN34" s="273"/>
      <c r="AO34" s="239"/>
      <c r="AP34" s="271"/>
      <c r="AQ34" s="156"/>
      <c r="AR34" s="223"/>
      <c r="AS34" s="235"/>
      <c r="AT34" s="46"/>
      <c r="AU34" s="273"/>
      <c r="AV34" s="239"/>
      <c r="AW34" s="271"/>
      <c r="AX34" s="156"/>
      <c r="AY34" s="223"/>
      <c r="AZ34" s="235"/>
      <c r="BA34" s="46"/>
      <c r="BB34" s="273"/>
      <c r="BC34" s="239"/>
      <c r="BD34" s="271"/>
      <c r="BE34" s="156"/>
      <c r="BF34" s="223"/>
      <c r="BG34" s="235"/>
      <c r="BH34" s="46"/>
      <c r="BI34" s="273"/>
      <c r="BJ34" s="239"/>
      <c r="BK34" s="271"/>
      <c r="BL34" s="156"/>
      <c r="BM34" s="223"/>
      <c r="BN34" s="235"/>
      <c r="BO34" s="46"/>
      <c r="BP34" s="273"/>
      <c r="BQ34" s="239"/>
      <c r="BR34" s="271"/>
      <c r="BS34" s="156"/>
      <c r="BT34" s="223"/>
      <c r="BU34" s="235"/>
      <c r="BV34" s="46"/>
      <c r="BW34" s="273"/>
      <c r="BX34" s="239"/>
      <c r="BY34" s="271"/>
      <c r="BZ34" s="156"/>
      <c r="CA34" s="223"/>
      <c r="CB34" s="235"/>
      <c r="CC34" s="46"/>
      <c r="CD34" s="273"/>
      <c r="CE34" s="239"/>
      <c r="CF34" s="271"/>
      <c r="CG34" s="156"/>
      <c r="CH34" s="223"/>
      <c r="CI34" s="235"/>
      <c r="CJ34" s="46"/>
      <c r="CK34" s="273"/>
      <c r="CL34" s="239"/>
      <c r="CM34" s="271"/>
      <c r="CN34" s="156"/>
      <c r="CO34" s="223"/>
      <c r="CP34" s="235"/>
      <c r="CQ34" s="46"/>
      <c r="CR34" s="273"/>
      <c r="CS34" s="239"/>
      <c r="CT34" s="271"/>
      <c r="CU34" s="156"/>
      <c r="CV34" s="223"/>
      <c r="CW34" s="235"/>
      <c r="CX34" s="46"/>
      <c r="CY34" s="273"/>
      <c r="CZ34" s="239"/>
      <c r="DA34" s="271"/>
      <c r="DB34" s="156"/>
      <c r="DC34" s="223"/>
      <c r="DD34" s="235"/>
      <c r="DE34" s="46"/>
      <c r="DF34" s="273"/>
      <c r="DG34" s="239"/>
      <c r="DH34" s="271"/>
      <c r="DI34" s="156"/>
      <c r="DJ34" s="223"/>
      <c r="DK34" s="235"/>
      <c r="DL34" s="46"/>
      <c r="DM34" s="273"/>
      <c r="DN34" s="239"/>
      <c r="DO34" s="271"/>
      <c r="DP34" s="156"/>
      <c r="DQ34" s="223"/>
      <c r="DR34" s="235"/>
      <c r="DS34" s="46"/>
      <c r="DT34" s="273"/>
      <c r="DU34" s="239"/>
      <c r="DV34" s="271"/>
      <c r="DW34" s="156"/>
      <c r="DX34" s="223"/>
      <c r="DY34" s="235"/>
      <c r="DZ34" s="46"/>
      <c r="EA34" s="273"/>
      <c r="EB34" s="239"/>
      <c r="EC34" s="271"/>
      <c r="ED34" s="156"/>
      <c r="EE34" s="223"/>
      <c r="EF34" s="235"/>
      <c r="EG34" s="46"/>
      <c r="EH34" s="273"/>
      <c r="EI34" s="239"/>
      <c r="EJ34" s="271"/>
    </row>
    <row r="35" spans="1:256" s="99" customFormat="1" ht="15" customHeight="1" thickBot="1" x14ac:dyDescent="0.25">
      <c r="A35" s="3" t="s">
        <v>582</v>
      </c>
      <c r="B35" s="612">
        <f>'Variante Vorgaben'!$E$168+'Variante Vorgaben'!$E$169</f>
        <v>300</v>
      </c>
      <c r="C35" s="605"/>
      <c r="D35" s="156"/>
      <c r="E35" s="606"/>
      <c r="F35" s="925">
        <f>B35+E35+'Variante Bewässerung'!$H$54</f>
        <v>1607.8</v>
      </c>
      <c r="G35" s="926">
        <f>F35/$F$67</f>
        <v>0.15834352985530423</v>
      </c>
      <c r="H35" s="3" t="s">
        <v>582</v>
      </c>
      <c r="I35" s="612">
        <f>'Variante Vorgaben'!$E$168+'Variante Vorgaben'!$E$169</f>
        <v>300</v>
      </c>
      <c r="J35" s="605"/>
      <c r="K35" s="156"/>
      <c r="L35" s="606"/>
      <c r="M35" s="925">
        <f>I35+L35+'Variante Bewässerung'!$H$54</f>
        <v>1607.8</v>
      </c>
      <c r="N35" s="926">
        <f>M35/$M$67</f>
        <v>0.12919648633934236</v>
      </c>
      <c r="O35" s="3" t="s">
        <v>582</v>
      </c>
      <c r="P35" s="612">
        <f>'Variante Vorgaben'!$E$168+'Variante Vorgaben'!$E$169</f>
        <v>300</v>
      </c>
      <c r="Q35" s="605"/>
      <c r="R35" s="156"/>
      <c r="S35" s="606"/>
      <c r="T35" s="925">
        <f>P35+S35+'Variante Bewässerung'!$H$54</f>
        <v>1607.8</v>
      </c>
      <c r="U35" s="926">
        <f>T35/$T$67</f>
        <v>8.7636314900593204E-2</v>
      </c>
      <c r="V35" s="3" t="s">
        <v>582</v>
      </c>
      <c r="W35" s="612">
        <f>'Variante Vorgaben'!$E$168+'Variante Vorgaben'!$E$169</f>
        <v>300</v>
      </c>
      <c r="X35" s="605"/>
      <c r="Y35" s="156"/>
      <c r="Z35" s="606"/>
      <c r="AA35" s="925">
        <f>W35+Z35+'Variante Bewässerung'!$H$54</f>
        <v>1607.8</v>
      </c>
      <c r="AB35" s="926">
        <f>AA35/$AA$67</f>
        <v>7.9025416317468455E-2</v>
      </c>
      <c r="AC35" s="3" t="s">
        <v>582</v>
      </c>
      <c r="AD35" s="612">
        <f>'Variante Vorgaben'!$E$168+'Variante Vorgaben'!$E$169</f>
        <v>300</v>
      </c>
      <c r="AE35" s="605"/>
      <c r="AF35" s="156"/>
      <c r="AG35" s="606"/>
      <c r="AH35" s="925">
        <f>AD35+AG35+'Variante Bewässerung'!$H$54</f>
        <v>1607.8</v>
      </c>
      <c r="AI35" s="926">
        <f>AH35/$AH$67</f>
        <v>6.0482929445397945E-2</v>
      </c>
      <c r="AJ35" s="3" t="s">
        <v>582</v>
      </c>
      <c r="AK35" s="612">
        <f>'Variante Vorgaben'!$E$168+'Variante Vorgaben'!$E$169</f>
        <v>300</v>
      </c>
      <c r="AL35" s="605"/>
      <c r="AM35" s="156"/>
      <c r="AN35" s="606"/>
      <c r="AO35" s="925">
        <f>AK35+AN35+'Variante Bewässerung'!$H$54</f>
        <v>1607.8</v>
      </c>
      <c r="AP35" s="926">
        <f>AO35/$AO$67</f>
        <v>5.4757882782356465E-2</v>
      </c>
      <c r="AQ35" s="3" t="s">
        <v>582</v>
      </c>
      <c r="AR35" s="612">
        <f>'Variante Vorgaben'!$E$168+'Variante Vorgaben'!$E$169</f>
        <v>300</v>
      </c>
      <c r="AS35" s="605"/>
      <c r="AT35" s="156"/>
      <c r="AU35" s="606"/>
      <c r="AV35" s="925">
        <f>AR35+AU35+'Variante Bewässerung'!$H$54</f>
        <v>1607.8</v>
      </c>
      <c r="AW35" s="926">
        <f>AV35/$AV$67</f>
        <v>5.4752948929031708E-2</v>
      </c>
      <c r="AX35" s="3" t="s">
        <v>582</v>
      </c>
      <c r="AY35" s="612">
        <f>'Variante Vorgaben'!$E$168+'Variante Vorgaben'!$E$169</f>
        <v>300</v>
      </c>
      <c r="AZ35" s="605"/>
      <c r="BA35" s="156"/>
      <c r="BB35" s="606"/>
      <c r="BC35" s="925">
        <f>AY35+BB35+'Variante Bewässerung'!$H$54</f>
        <v>1607.8</v>
      </c>
      <c r="BD35" s="926">
        <f>BC35/$BC$67</f>
        <v>5.4747971572094774E-2</v>
      </c>
      <c r="BE35" s="3" t="s">
        <v>582</v>
      </c>
      <c r="BF35" s="612">
        <f>'Variante Vorgaben'!$E$168+'Variante Vorgaben'!$E$169</f>
        <v>300</v>
      </c>
      <c r="BG35" s="605"/>
      <c r="BH35" s="156"/>
      <c r="BI35" s="606"/>
      <c r="BJ35" s="925">
        <f>BF35+BI35+'Variante Bewässerung'!$H$54</f>
        <v>1607.8</v>
      </c>
      <c r="BK35" s="926">
        <f>BJ35/$BJ$67</f>
        <v>5.4742950336055196E-2</v>
      </c>
      <c r="BL35" s="3" t="s">
        <v>582</v>
      </c>
      <c r="BM35" s="612">
        <f>'Variante Vorgaben'!$E$168+'Variante Vorgaben'!$E$169</f>
        <v>300</v>
      </c>
      <c r="BN35" s="605"/>
      <c r="BO35" s="156"/>
      <c r="BP35" s="606"/>
      <c r="BQ35" s="925">
        <f>BM35+BP35+'Variante Bewässerung'!$H$54</f>
        <v>1607.8</v>
      </c>
      <c r="BR35" s="926">
        <f>BQ35/$BQ$67</f>
        <v>5.4737884842326417E-2</v>
      </c>
      <c r="BS35" s="3" t="s">
        <v>582</v>
      </c>
      <c r="BT35" s="612">
        <f>'Variante Vorgaben'!$E$168+'Variante Vorgaben'!$E$169</f>
        <v>300</v>
      </c>
      <c r="BU35" s="605"/>
      <c r="BV35" s="156"/>
      <c r="BW35" s="606"/>
      <c r="BX35" s="925">
        <f>BT35+BW35+'Variante Bewässerung'!$H$54</f>
        <v>1607.8</v>
      </c>
      <c r="BY35" s="926">
        <f>BX35/$BX$67</f>
        <v>5.4732774709202896E-2</v>
      </c>
      <c r="BZ35" s="3" t="s">
        <v>582</v>
      </c>
      <c r="CA35" s="612">
        <f>'Variante Vorgaben'!$E$168+'Variante Vorgaben'!$E$169</f>
        <v>300</v>
      </c>
      <c r="CB35" s="605"/>
      <c r="CC35" s="156"/>
      <c r="CD35" s="606"/>
      <c r="CE35" s="925">
        <f>CA35+CD35+'Variante Bewässerung'!$H$54</f>
        <v>1607.8</v>
      </c>
      <c r="CF35" s="926">
        <f>CE35/$CE$67</f>
        <v>5.472761955183704E-2</v>
      </c>
      <c r="CG35" s="3" t="s">
        <v>582</v>
      </c>
      <c r="CH35" s="612">
        <f>'Variante Vorgaben'!$E$168+'Variante Vorgaben'!$E$169</f>
        <v>300</v>
      </c>
      <c r="CI35" s="605"/>
      <c r="CJ35" s="156"/>
      <c r="CK35" s="606"/>
      <c r="CL35" s="925">
        <f>CH35+CK35+'Variante Bewässerung'!$H$54</f>
        <v>1607.8</v>
      </c>
      <c r="CM35" s="926">
        <f>CL35/$CL$67</f>
        <v>5.4722418982216046E-2</v>
      </c>
      <c r="CN35" s="3" t="s">
        <v>582</v>
      </c>
      <c r="CO35" s="612">
        <f>'Variante Vorgaben'!$E$168+'Variante Vorgaben'!$E$169</f>
        <v>300</v>
      </c>
      <c r="CP35" s="605"/>
      <c r="CQ35" s="156"/>
      <c r="CR35" s="606"/>
      <c r="CS35" s="925">
        <f>CO35+CR35+'Variante Bewässerung'!$H$54</f>
        <v>1607.8</v>
      </c>
      <c r="CT35" s="926">
        <f>CS35/$CS$67</f>
        <v>5.471717260913863E-2</v>
      </c>
      <c r="CU35" s="3" t="s">
        <v>582</v>
      </c>
      <c r="CV35" s="612">
        <f>'Variante Vorgaben'!$E$168+'Variante Vorgaben'!$E$169</f>
        <v>300</v>
      </c>
      <c r="CW35" s="605"/>
      <c r="CX35" s="156"/>
      <c r="CY35" s="606"/>
      <c r="CZ35" s="925">
        <f>CV35+CY35+'Variante Bewässerung'!$H$54</f>
        <v>1607.8</v>
      </c>
      <c r="DA35" s="926">
        <f>CZ35/$CZ$67</f>
        <v>5.4711880038191579E-2</v>
      </c>
      <c r="DB35" s="3" t="s">
        <v>582</v>
      </c>
      <c r="DC35" s="612">
        <f>'Variante Vorgaben'!$E$168+'Variante Vorgaben'!$E$169</f>
        <v>300</v>
      </c>
      <c r="DD35" s="605"/>
      <c r="DE35" s="156"/>
      <c r="DF35" s="606"/>
      <c r="DG35" s="925">
        <f>DC35+DF35+'Variante Bewässerung'!$H$54</f>
        <v>1607.8</v>
      </c>
      <c r="DH35" s="926">
        <f>DG35/$DG$67</f>
        <v>5.4706540871726279E-2</v>
      </c>
      <c r="DI35" s="3" t="s">
        <v>582</v>
      </c>
      <c r="DJ35" s="612">
        <f>'Variante Vorgaben'!$E$168+'Variante Vorgaben'!$E$169</f>
        <v>300</v>
      </c>
      <c r="DK35" s="605"/>
      <c r="DL35" s="156"/>
      <c r="DM35" s="606"/>
      <c r="DN35" s="925">
        <f>DJ35+DM35+'Variante Bewässerung'!$H$54</f>
        <v>1607.8</v>
      </c>
      <c r="DO35" s="926">
        <f>DN35/$DN$67</f>
        <v>5.4701154708835034E-2</v>
      </c>
      <c r="DP35" s="3" t="s">
        <v>582</v>
      </c>
      <c r="DQ35" s="612">
        <f>'Variante Vorgaben'!$E$168+'Variante Vorgaben'!$E$169</f>
        <v>300</v>
      </c>
      <c r="DR35" s="605"/>
      <c r="DS35" s="156"/>
      <c r="DT35" s="606"/>
      <c r="DU35" s="925">
        <f>DQ35+DT35+'Variante Bewässerung'!$H$54</f>
        <v>1607.8</v>
      </c>
      <c r="DV35" s="926">
        <f>DU35/$DU$67</f>
        <v>5.4695721145327302E-2</v>
      </c>
      <c r="DW35" s="3" t="s">
        <v>582</v>
      </c>
      <c r="DX35" s="612">
        <f>'Variante Vorgaben'!$E$168+'Variante Vorgaben'!$E$169</f>
        <v>300</v>
      </c>
      <c r="DY35" s="605"/>
      <c r="DZ35" s="156"/>
      <c r="EA35" s="606"/>
      <c r="EB35" s="925">
        <f>DX35+EA35+'Variante Bewässerung'!$H$54</f>
        <v>1607.8</v>
      </c>
      <c r="EC35" s="926">
        <f>EB35/$EB$67</f>
        <v>5.4690239773705823E-2</v>
      </c>
      <c r="ED35" s="3" t="s">
        <v>582</v>
      </c>
      <c r="EE35" s="612">
        <f>'Variante Vorgaben'!$E$168+'Variante Vorgaben'!$E$169</f>
        <v>300</v>
      </c>
      <c r="EF35" s="605"/>
      <c r="EG35" s="156"/>
      <c r="EH35" s="606"/>
      <c r="EI35" s="925">
        <f>EE35+EH35+'Variante Bewässerung'!$H$54</f>
        <v>1607.8</v>
      </c>
      <c r="EJ35" s="926">
        <f>EI35/$EI$67</f>
        <v>4.5416448082385145E-2</v>
      </c>
    </row>
    <row r="36" spans="1:256" s="45" customFormat="1" ht="18.75" customHeight="1" x14ac:dyDescent="0.2">
      <c r="A36" s="614" t="s">
        <v>256</v>
      </c>
      <c r="B36" s="615"/>
      <c r="C36" s="616"/>
      <c r="D36" s="616"/>
      <c r="E36" s="617"/>
      <c r="F36" s="924">
        <f>F19+F26+F33+F35</f>
        <v>2326.8000000000002</v>
      </c>
      <c r="G36" s="927">
        <f>F36/$F$67</f>
        <v>0.22915395277231118</v>
      </c>
      <c r="H36" s="614" t="s">
        <v>256</v>
      </c>
      <c r="I36" s="615"/>
      <c r="J36" s="616"/>
      <c r="K36" s="616"/>
      <c r="L36" s="617"/>
      <c r="M36" s="924">
        <f>M19+M26+M33+M35</f>
        <v>2979.05</v>
      </c>
      <c r="N36" s="927">
        <f>M36/$M$67</f>
        <v>0.23938474476254379</v>
      </c>
      <c r="O36" s="614" t="s">
        <v>256</v>
      </c>
      <c r="P36" s="615"/>
      <c r="Q36" s="616"/>
      <c r="R36" s="616"/>
      <c r="S36" s="617"/>
      <c r="T36" s="924">
        <f>T19+T26+T33+T35</f>
        <v>3723.8</v>
      </c>
      <c r="U36" s="927">
        <f>T36/$T$67</f>
        <v>0.20297307465283554</v>
      </c>
      <c r="V36" s="614" t="s">
        <v>256</v>
      </c>
      <c r="W36" s="615"/>
      <c r="X36" s="616"/>
      <c r="Y36" s="616"/>
      <c r="Z36" s="617"/>
      <c r="AA36" s="924">
        <f>AA19+AA26+AA33+AA35</f>
        <v>4299.8</v>
      </c>
      <c r="AB36" s="927">
        <f>AA36/$AA$67</f>
        <v>0.21134064254375598</v>
      </c>
      <c r="AC36" s="614" t="s">
        <v>256</v>
      </c>
      <c r="AD36" s="615"/>
      <c r="AE36" s="616"/>
      <c r="AF36" s="616"/>
      <c r="AG36" s="617"/>
      <c r="AH36" s="924">
        <f>AH19+AH26+AH33+AH35</f>
        <v>7024.8</v>
      </c>
      <c r="AI36" s="927">
        <f>AH36/$AH$67</f>
        <v>0.26426202436125856</v>
      </c>
      <c r="AJ36" s="614" t="s">
        <v>256</v>
      </c>
      <c r="AK36" s="615"/>
      <c r="AL36" s="616"/>
      <c r="AM36" s="616"/>
      <c r="AN36" s="617"/>
      <c r="AO36" s="924">
        <f>AO19+AO26+AO33+AO35</f>
        <v>7404.8</v>
      </c>
      <c r="AP36" s="927">
        <f>AO36/$AO$67</f>
        <v>0.25219005499862746</v>
      </c>
      <c r="AQ36" s="614" t="s">
        <v>256</v>
      </c>
      <c r="AR36" s="615"/>
      <c r="AS36" s="616"/>
      <c r="AT36" s="616"/>
      <c r="AU36" s="617"/>
      <c r="AV36" s="924">
        <f>AV19+AV26+AV33+AV35</f>
        <v>7404.8</v>
      </c>
      <c r="AW36" s="927">
        <f>AV36/$AV$67</f>
        <v>0.25216733190054363</v>
      </c>
      <c r="AX36" s="614" t="s">
        <v>256</v>
      </c>
      <c r="AY36" s="615"/>
      <c r="AZ36" s="616"/>
      <c r="BA36" s="616"/>
      <c r="BB36" s="617"/>
      <c r="BC36" s="924">
        <f>BC19+BC26+BC33+BC35</f>
        <v>7404.8</v>
      </c>
      <c r="BD36" s="927">
        <f>BC36/$BC$67</f>
        <v>0.25214440844448777</v>
      </c>
      <c r="BE36" s="614" t="s">
        <v>256</v>
      </c>
      <c r="BF36" s="615"/>
      <c r="BG36" s="616"/>
      <c r="BH36" s="616"/>
      <c r="BI36" s="617"/>
      <c r="BJ36" s="924">
        <f>BJ19+BJ26+BJ33+BJ35</f>
        <v>7404.8</v>
      </c>
      <c r="BK36" s="927">
        <f>BJ36/$BJ$67</f>
        <v>0.25212128290112051</v>
      </c>
      <c r="BL36" s="614" t="s">
        <v>256</v>
      </c>
      <c r="BM36" s="615"/>
      <c r="BN36" s="616"/>
      <c r="BO36" s="616"/>
      <c r="BP36" s="617"/>
      <c r="BQ36" s="924">
        <f>BQ19+BQ26+BQ33+BQ35</f>
        <v>7404.8</v>
      </c>
      <c r="BR36" s="927">
        <f>BQ36/$BQ$67</f>
        <v>0.25209795352684333</v>
      </c>
      <c r="BS36" s="614" t="s">
        <v>256</v>
      </c>
      <c r="BT36" s="615"/>
      <c r="BU36" s="616"/>
      <c r="BV36" s="616"/>
      <c r="BW36" s="617"/>
      <c r="BX36" s="924">
        <f>BX19+BX26+BX33+BX35</f>
        <v>7404.8</v>
      </c>
      <c r="BY36" s="924">
        <f>BY19+BY26+BY33+BY35</f>
        <v>0.26881202533405796</v>
      </c>
      <c r="BZ36" s="614" t="s">
        <v>256</v>
      </c>
      <c r="CA36" s="615"/>
      <c r="CB36" s="616"/>
      <c r="CC36" s="616"/>
      <c r="CD36" s="617"/>
      <c r="CE36" s="924">
        <f>CE19+CE26+CE33+CE35</f>
        <v>7404.8</v>
      </c>
      <c r="CF36" s="927">
        <f>CE36/$CE$67</f>
        <v>0.25205067623923555</v>
      </c>
      <c r="CG36" s="614" t="s">
        <v>256</v>
      </c>
      <c r="CH36" s="615"/>
      <c r="CI36" s="616"/>
      <c r="CJ36" s="616"/>
      <c r="CK36" s="617"/>
      <c r="CL36" s="924">
        <f>CL19+CL26+CL33+CL35</f>
        <v>7404.8</v>
      </c>
      <c r="CM36" s="927">
        <f>CL36/$CL$67</f>
        <v>0.25202672476645938</v>
      </c>
      <c r="CN36" s="614" t="s">
        <v>256</v>
      </c>
      <c r="CO36" s="615"/>
      <c r="CP36" s="616"/>
      <c r="CQ36" s="616"/>
      <c r="CR36" s="617"/>
      <c r="CS36" s="924">
        <f>CS19+CS26+CS33+CS35</f>
        <v>7404.8</v>
      </c>
      <c r="CT36" s="927">
        <f>CS36/$CS$67</f>
        <v>0.25200256234366819</v>
      </c>
      <c r="CU36" s="614" t="s">
        <v>256</v>
      </c>
      <c r="CV36" s="615"/>
      <c r="CW36" s="616"/>
      <c r="CX36" s="616"/>
      <c r="CY36" s="617"/>
      <c r="CZ36" s="924">
        <f>CZ19+CZ26+CZ33+CZ35</f>
        <v>7404.8</v>
      </c>
      <c r="DA36" s="927">
        <f>CZ36/$CZ$67</f>
        <v>0.25197818715437309</v>
      </c>
      <c r="DB36" s="614" t="s">
        <v>256</v>
      </c>
      <c r="DC36" s="615"/>
      <c r="DD36" s="616"/>
      <c r="DE36" s="616"/>
      <c r="DF36" s="617"/>
      <c r="DG36" s="924">
        <f>DG19+DG26+DG33+DG35</f>
        <v>7404.8</v>
      </c>
      <c r="DH36" s="927">
        <f>DG36/$DG$67</f>
        <v>0.2519535973671842</v>
      </c>
      <c r="DI36" s="614" t="s">
        <v>256</v>
      </c>
      <c r="DJ36" s="615"/>
      <c r="DK36" s="616"/>
      <c r="DL36" s="616"/>
      <c r="DM36" s="617"/>
      <c r="DN36" s="924">
        <f>DN19+DN26+DN33+DN35</f>
        <v>7404.8</v>
      </c>
      <c r="DO36" s="927">
        <f>DN36/$DN$67</f>
        <v>0.25192879113570199</v>
      </c>
      <c r="DP36" s="614" t="s">
        <v>256</v>
      </c>
      <c r="DQ36" s="615"/>
      <c r="DR36" s="616"/>
      <c r="DS36" s="616"/>
      <c r="DT36" s="617"/>
      <c r="DU36" s="924">
        <f>DU19+DU26+DU33+DU35</f>
        <v>7404.8</v>
      </c>
      <c r="DV36" s="927">
        <f>DU36/$DU$67</f>
        <v>0.25190376659840752</v>
      </c>
      <c r="DW36" s="614" t="s">
        <v>256</v>
      </c>
      <c r="DX36" s="615"/>
      <c r="DY36" s="616"/>
      <c r="DZ36" s="616"/>
      <c r="EA36" s="617"/>
      <c r="EB36" s="924">
        <f>EB19+EB26+EB33+EB35</f>
        <v>7404.8</v>
      </c>
      <c r="EC36" s="927">
        <f>EB36/$EB$67</f>
        <v>0.25187852187855259</v>
      </c>
      <c r="ED36" s="614" t="s">
        <v>256</v>
      </c>
      <c r="EE36" s="615"/>
      <c r="EF36" s="616"/>
      <c r="EG36" s="616"/>
      <c r="EH36" s="617"/>
      <c r="EI36" s="924">
        <f>EI19+EI26+EI33+EI35</f>
        <v>7404.8</v>
      </c>
      <c r="EJ36" s="927">
        <f>EI36/$EI$67</f>
        <v>0.20916762953131332</v>
      </c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</row>
    <row r="37" spans="1:256" s="52" customFormat="1" ht="18.75" customHeight="1" x14ac:dyDescent="0.2">
      <c r="A37" s="3" t="s">
        <v>207</v>
      </c>
      <c r="B37" s="1"/>
      <c r="C37" s="187" t="s">
        <v>60</v>
      </c>
      <c r="D37" s="619">
        <f>'Variante Vorgaben'!$C$166</f>
        <v>10</v>
      </c>
      <c r="E37" s="62">
        <f>'Variante Vorgaben'!$D$166</f>
        <v>15</v>
      </c>
      <c r="F37" s="77">
        <f>D37*E37</f>
        <v>150</v>
      </c>
      <c r="G37" s="271">
        <f>F37/$F$67</f>
        <v>1.4772689064744144E-2</v>
      </c>
      <c r="H37" s="3" t="s">
        <v>207</v>
      </c>
      <c r="I37" s="1"/>
      <c r="J37" s="187" t="s">
        <v>60</v>
      </c>
      <c r="K37" s="619">
        <f>'Variante Vorgaben'!$C$166</f>
        <v>10</v>
      </c>
      <c r="L37" s="62">
        <f>'Variante Vorgaben'!$D$166</f>
        <v>15</v>
      </c>
      <c r="M37" s="77">
        <f>K37*L37</f>
        <v>150</v>
      </c>
      <c r="N37" s="271">
        <f>M37/$M$67</f>
        <v>1.2053410219493316E-2</v>
      </c>
      <c r="O37" s="3" t="s">
        <v>207</v>
      </c>
      <c r="P37" s="1"/>
      <c r="Q37" s="187" t="s">
        <v>60</v>
      </c>
      <c r="R37" s="619">
        <f>'Variante Vorgaben'!$C$166</f>
        <v>10</v>
      </c>
      <c r="S37" s="62">
        <f>'Variante Vorgaben'!$D$166</f>
        <v>15</v>
      </c>
      <c r="T37" s="77">
        <f>R37*S37</f>
        <v>150</v>
      </c>
      <c r="U37" s="271">
        <f>T37/$T$67</f>
        <v>8.17604629623646E-3</v>
      </c>
      <c r="V37" s="3" t="s">
        <v>207</v>
      </c>
      <c r="W37" s="1"/>
      <c r="X37" s="187" t="s">
        <v>60</v>
      </c>
      <c r="Y37" s="619">
        <f>'Variante Vorgaben'!$C$166</f>
        <v>10</v>
      </c>
      <c r="Z37" s="62">
        <f>'Variante Vorgaben'!$D$166</f>
        <v>15</v>
      </c>
      <c r="AA37" s="77">
        <f>Y37*Z37</f>
        <v>150</v>
      </c>
      <c r="AB37" s="271">
        <f>AA37/$AA$67</f>
        <v>7.3726909115687696E-3</v>
      </c>
      <c r="AC37" s="3" t="s">
        <v>207</v>
      </c>
      <c r="AD37" s="1"/>
      <c r="AE37" s="187" t="s">
        <v>60</v>
      </c>
      <c r="AF37" s="619">
        <f>'Variante Vorgaben'!$C$166</f>
        <v>10</v>
      </c>
      <c r="AG37" s="62">
        <f>'Variante Vorgaben'!$D$166</f>
        <v>15</v>
      </c>
      <c r="AH37" s="77">
        <f>AF37*AG37</f>
        <v>150</v>
      </c>
      <c r="AI37" s="271">
        <f>AH37/$AH$67</f>
        <v>5.6427661505222618E-3</v>
      </c>
      <c r="AJ37" s="3" t="s">
        <v>207</v>
      </c>
      <c r="AK37" s="1"/>
      <c r="AL37" s="187" t="s">
        <v>60</v>
      </c>
      <c r="AM37" s="619">
        <f>'Variante Vorgaben'!$C$166</f>
        <v>10</v>
      </c>
      <c r="AN37" s="62">
        <f>'Variante Vorgaben'!$D$166</f>
        <v>15</v>
      </c>
      <c r="AO37" s="77">
        <f>AM37*AN37</f>
        <v>150</v>
      </c>
      <c r="AP37" s="271">
        <f>AO37/$AO$67</f>
        <v>5.1086468574160155E-3</v>
      </c>
      <c r="AQ37" s="3" t="s">
        <v>207</v>
      </c>
      <c r="AR37" s="1"/>
      <c r="AS37" s="187" t="s">
        <v>60</v>
      </c>
      <c r="AT37" s="619">
        <f>'Variante Vorgaben'!$C$166</f>
        <v>10</v>
      </c>
      <c r="AU37" s="62">
        <f>'Variante Vorgaben'!$D$166</f>
        <v>15</v>
      </c>
      <c r="AV37" s="77">
        <f>AT37*AU37</f>
        <v>150</v>
      </c>
      <c r="AW37" s="271">
        <f>AV37/$AV$67</f>
        <v>5.1081865526525416E-3</v>
      </c>
      <c r="AX37" s="3" t="s">
        <v>207</v>
      </c>
      <c r="AY37" s="1"/>
      <c r="AZ37" s="187" t="s">
        <v>60</v>
      </c>
      <c r="BA37" s="619">
        <f>'Variante Vorgaben'!$C$166</f>
        <v>10</v>
      </c>
      <c r="BB37" s="62">
        <f>'Variante Vorgaben'!$D$166</f>
        <v>15</v>
      </c>
      <c r="BC37" s="77">
        <f>BA37*BB37</f>
        <v>150</v>
      </c>
      <c r="BD37" s="271">
        <f>BC37/$BC$67</f>
        <v>5.1077221892114793E-3</v>
      </c>
      <c r="BE37" s="3" t="s">
        <v>207</v>
      </c>
      <c r="BF37" s="1"/>
      <c r="BG37" s="187" t="s">
        <v>60</v>
      </c>
      <c r="BH37" s="619">
        <f>'Variante Vorgaben'!$C$166</f>
        <v>10</v>
      </c>
      <c r="BI37" s="62">
        <f>'Variante Vorgaben'!$D$166</f>
        <v>15</v>
      </c>
      <c r="BJ37" s="77">
        <f>BH37*BI37</f>
        <v>150</v>
      </c>
      <c r="BK37" s="271">
        <f>BJ37/$BJ$67</f>
        <v>5.1072537320613759E-3</v>
      </c>
      <c r="BL37" s="3" t="s">
        <v>207</v>
      </c>
      <c r="BM37" s="1"/>
      <c r="BN37" s="187" t="s">
        <v>60</v>
      </c>
      <c r="BO37" s="619">
        <f>'Variante Vorgaben'!$C$166</f>
        <v>10</v>
      </c>
      <c r="BP37" s="62">
        <f>'Variante Vorgaben'!$D$166</f>
        <v>15</v>
      </c>
      <c r="BQ37" s="77">
        <f>BO37*BP37</f>
        <v>150</v>
      </c>
      <c r="BR37" s="271">
        <f>BQ37/$BQ$67</f>
        <v>5.1067811458819275E-3</v>
      </c>
      <c r="BS37" s="3" t="s">
        <v>207</v>
      </c>
      <c r="BT37" s="1"/>
      <c r="BU37" s="187" t="s">
        <v>60</v>
      </c>
      <c r="BV37" s="619">
        <f>'Variante Vorgaben'!$C$166</f>
        <v>10</v>
      </c>
      <c r="BW37" s="62">
        <f>'Variante Vorgaben'!$D$166</f>
        <v>15</v>
      </c>
      <c r="BX37" s="77">
        <f>BV37*BW37</f>
        <v>150</v>
      </c>
      <c r="BY37" s="271">
        <f>BX37/$BX$67</f>
        <v>5.1063043950618451E-3</v>
      </c>
      <c r="BZ37" s="3" t="s">
        <v>207</v>
      </c>
      <c r="CA37" s="1"/>
      <c r="CB37" s="187" t="s">
        <v>60</v>
      </c>
      <c r="CC37" s="619">
        <f>'Variante Vorgaben'!$C$166</f>
        <v>10</v>
      </c>
      <c r="CD37" s="62">
        <f>'Variante Vorgaben'!$D$166</f>
        <v>15</v>
      </c>
      <c r="CE37" s="77">
        <f>CC37*CD37</f>
        <v>150</v>
      </c>
      <c r="CF37" s="271">
        <f>CE37/$CE$67</f>
        <v>5.1058234436967007E-3</v>
      </c>
      <c r="CG37" s="3" t="s">
        <v>207</v>
      </c>
      <c r="CH37" s="1"/>
      <c r="CI37" s="187" t="s">
        <v>60</v>
      </c>
      <c r="CJ37" s="619">
        <f>'Variante Vorgaben'!$C$166</f>
        <v>10</v>
      </c>
      <c r="CK37" s="62">
        <f>'Variante Vorgaben'!$D$166</f>
        <v>15</v>
      </c>
      <c r="CL37" s="77">
        <f>CJ37*CK37</f>
        <v>150</v>
      </c>
      <c r="CM37" s="271">
        <f>CL37/$CL$67</f>
        <v>5.1053382555867688E-3</v>
      </c>
      <c r="CN37" s="3" t="s">
        <v>207</v>
      </c>
      <c r="CO37" s="1"/>
      <c r="CP37" s="187" t="s">
        <v>60</v>
      </c>
      <c r="CQ37" s="619">
        <f>'Variante Vorgaben'!$C$166</f>
        <v>10</v>
      </c>
      <c r="CR37" s="62">
        <f>'Variante Vorgaben'!$D$166</f>
        <v>15</v>
      </c>
      <c r="CS37" s="77">
        <f>CQ37*CR37</f>
        <v>150</v>
      </c>
      <c r="CT37" s="271">
        <f>CS37/$CS$67</f>
        <v>5.1048487942348519E-3</v>
      </c>
      <c r="CU37" s="3" t="s">
        <v>207</v>
      </c>
      <c r="CV37" s="1"/>
      <c r="CW37" s="187" t="s">
        <v>60</v>
      </c>
      <c r="CX37" s="619">
        <f>'Variante Vorgaben'!$C$166</f>
        <v>10</v>
      </c>
      <c r="CY37" s="62">
        <f>'Variante Vorgaben'!$D$166</f>
        <v>15</v>
      </c>
      <c r="CZ37" s="77">
        <f>CX37*CY37</f>
        <v>150</v>
      </c>
      <c r="DA37" s="271">
        <f>CZ37/$CZ$67</f>
        <v>5.1043550228440961E-3</v>
      </c>
      <c r="DB37" s="3" t="s">
        <v>207</v>
      </c>
      <c r="DC37" s="1"/>
      <c r="DD37" s="187" t="s">
        <v>60</v>
      </c>
      <c r="DE37" s="619">
        <f>'Variante Vorgaben'!$C$166</f>
        <v>10</v>
      </c>
      <c r="DF37" s="62">
        <f>'Variante Vorgaben'!$D$166</f>
        <v>15</v>
      </c>
      <c r="DG37" s="77">
        <f>DE37*DF37</f>
        <v>150</v>
      </c>
      <c r="DH37" s="271">
        <f>DG37/$DG$67</f>
        <v>5.1038569043157997E-3</v>
      </c>
      <c r="DI37" s="3" t="s">
        <v>207</v>
      </c>
      <c r="DJ37" s="1"/>
      <c r="DK37" s="187" t="s">
        <v>60</v>
      </c>
      <c r="DL37" s="619">
        <f>'Variante Vorgaben'!$C$166</f>
        <v>10</v>
      </c>
      <c r="DM37" s="62">
        <f>'Variante Vorgaben'!$D$166</f>
        <v>15</v>
      </c>
      <c r="DN37" s="77">
        <f>DL37*DM37</f>
        <v>150</v>
      </c>
      <c r="DO37" s="271">
        <f>DN37/$DN$67</f>
        <v>5.1033544012472048E-3</v>
      </c>
      <c r="DP37" s="3" t="s">
        <v>207</v>
      </c>
      <c r="DQ37" s="1"/>
      <c r="DR37" s="187" t="s">
        <v>60</v>
      </c>
      <c r="DS37" s="619">
        <f>'Variante Vorgaben'!$C$166</f>
        <v>10</v>
      </c>
      <c r="DT37" s="62">
        <f>'Variante Vorgaben'!$D$166</f>
        <v>15</v>
      </c>
      <c r="DU37" s="77">
        <f>DS37*DT37</f>
        <v>150</v>
      </c>
      <c r="DV37" s="271">
        <f>DU37/$DU$67</f>
        <v>5.1028474759292793E-3</v>
      </c>
      <c r="DW37" s="3" t="s">
        <v>207</v>
      </c>
      <c r="DX37" s="1"/>
      <c r="DY37" s="187" t="s">
        <v>60</v>
      </c>
      <c r="DZ37" s="619">
        <f>'Variante Vorgaben'!$C$166</f>
        <v>10</v>
      </c>
      <c r="EA37" s="62">
        <f>'Variante Vorgaben'!$D$166</f>
        <v>15</v>
      </c>
      <c r="EB37" s="77">
        <f>DZ37*EA37</f>
        <v>150</v>
      </c>
      <c r="EC37" s="271">
        <f>EB37/$EB$67</f>
        <v>5.1023360903444913E-3</v>
      </c>
      <c r="ED37" s="3" t="s">
        <v>207</v>
      </c>
      <c r="EE37" s="1"/>
      <c r="EF37" s="187" t="s">
        <v>60</v>
      </c>
      <c r="EG37" s="619">
        <f>'Variante Vorgaben'!$C$166</f>
        <v>10</v>
      </c>
      <c r="EH37" s="62">
        <f>'Variante Vorgaben'!$D$166</f>
        <v>15</v>
      </c>
      <c r="EI37" s="77">
        <f>EG37*EH37</f>
        <v>150</v>
      </c>
      <c r="EJ37" s="271">
        <f>EI37/$EI$67</f>
        <v>4.237135969870489E-3</v>
      </c>
    </row>
    <row r="38" spans="1:256" ht="17.25" customHeight="1" x14ac:dyDescent="0.2">
      <c r="A38"/>
      <c r="B38"/>
      <c r="C38" s="49" t="s">
        <v>11</v>
      </c>
      <c r="D38" s="123" t="s">
        <v>20</v>
      </c>
      <c r="E38" s="128" t="s">
        <v>61</v>
      </c>
      <c r="F38" s="124" t="s">
        <v>22</v>
      </c>
      <c r="G38" s="271"/>
      <c r="H38"/>
      <c r="I38"/>
      <c r="J38" s="49" t="s">
        <v>11</v>
      </c>
      <c r="K38" s="123" t="s">
        <v>20</v>
      </c>
      <c r="L38" s="10" t="s">
        <v>61</v>
      </c>
      <c r="M38" s="124" t="s">
        <v>22</v>
      </c>
      <c r="N38" s="42"/>
      <c r="Q38" s="49" t="s">
        <v>11</v>
      </c>
      <c r="R38" s="123" t="s">
        <v>20</v>
      </c>
      <c r="S38" s="10" t="s">
        <v>61</v>
      </c>
      <c r="T38" s="124" t="s">
        <v>22</v>
      </c>
      <c r="U38" s="42"/>
      <c r="X38" s="49" t="s">
        <v>11</v>
      </c>
      <c r="Y38" s="123" t="s">
        <v>20</v>
      </c>
      <c r="Z38" s="10" t="s">
        <v>61</v>
      </c>
      <c r="AA38" s="124" t="s">
        <v>22</v>
      </c>
      <c r="AB38" s="42"/>
      <c r="AE38" s="49" t="s">
        <v>11</v>
      </c>
      <c r="AF38" s="123" t="s">
        <v>20</v>
      </c>
      <c r="AG38" s="10" t="s">
        <v>61</v>
      </c>
      <c r="AH38" s="124" t="s">
        <v>22</v>
      </c>
      <c r="AI38" s="42"/>
      <c r="AL38" s="49" t="s">
        <v>11</v>
      </c>
      <c r="AM38" s="123" t="s">
        <v>20</v>
      </c>
      <c r="AN38" s="10" t="s">
        <v>61</v>
      </c>
      <c r="AO38" s="124" t="s">
        <v>22</v>
      </c>
      <c r="AP38" s="42"/>
      <c r="AS38" s="49" t="s">
        <v>11</v>
      </c>
      <c r="AT38" s="123" t="s">
        <v>20</v>
      </c>
      <c r="AU38" s="10" t="s">
        <v>61</v>
      </c>
      <c r="AV38" s="124" t="s">
        <v>22</v>
      </c>
      <c r="AW38" s="42"/>
      <c r="AZ38" s="49" t="s">
        <v>11</v>
      </c>
      <c r="BA38" s="123" t="s">
        <v>20</v>
      </c>
      <c r="BB38" s="10" t="s">
        <v>61</v>
      </c>
      <c r="BC38" s="124" t="s">
        <v>22</v>
      </c>
      <c r="BD38" s="42"/>
      <c r="BG38" s="49" t="s">
        <v>11</v>
      </c>
      <c r="BH38" s="123" t="s">
        <v>20</v>
      </c>
      <c r="BI38" s="10" t="s">
        <v>61</v>
      </c>
      <c r="BJ38" s="124" t="s">
        <v>22</v>
      </c>
      <c r="BK38" s="42"/>
      <c r="BN38" s="49" t="s">
        <v>11</v>
      </c>
      <c r="BO38" s="123" t="s">
        <v>20</v>
      </c>
      <c r="BP38" s="10" t="s">
        <v>61</v>
      </c>
      <c r="BQ38" s="124" t="s">
        <v>22</v>
      </c>
      <c r="BR38" s="42"/>
      <c r="BU38" s="49" t="s">
        <v>11</v>
      </c>
      <c r="BV38" s="123" t="s">
        <v>20</v>
      </c>
      <c r="BW38" s="10" t="s">
        <v>61</v>
      </c>
      <c r="BX38" s="124" t="s">
        <v>22</v>
      </c>
      <c r="BY38" s="42"/>
      <c r="CB38" s="49" t="s">
        <v>11</v>
      </c>
      <c r="CC38" s="123" t="s">
        <v>20</v>
      </c>
      <c r="CD38" s="10" t="s">
        <v>61</v>
      </c>
      <c r="CE38" s="124" t="s">
        <v>22</v>
      </c>
      <c r="CF38" s="42"/>
      <c r="CI38" s="49" t="s">
        <v>11</v>
      </c>
      <c r="CJ38" s="123" t="s">
        <v>20</v>
      </c>
      <c r="CK38" s="10" t="s">
        <v>61</v>
      </c>
      <c r="CL38" s="124" t="s">
        <v>22</v>
      </c>
      <c r="CM38" s="42"/>
      <c r="CP38" s="49" t="s">
        <v>11</v>
      </c>
      <c r="CQ38" s="123" t="s">
        <v>20</v>
      </c>
      <c r="CR38" s="10" t="s">
        <v>61</v>
      </c>
      <c r="CS38" s="124" t="s">
        <v>22</v>
      </c>
      <c r="CT38" s="42"/>
      <c r="CW38" s="49" t="s">
        <v>11</v>
      </c>
      <c r="CX38" s="123" t="s">
        <v>20</v>
      </c>
      <c r="CY38" s="10" t="s">
        <v>61</v>
      </c>
      <c r="CZ38" s="124" t="s">
        <v>22</v>
      </c>
      <c r="DA38" s="42"/>
      <c r="DD38" s="49" t="s">
        <v>11</v>
      </c>
      <c r="DE38" s="123" t="s">
        <v>20</v>
      </c>
      <c r="DF38" s="10" t="s">
        <v>61</v>
      </c>
      <c r="DG38" s="124" t="s">
        <v>22</v>
      </c>
      <c r="DH38" s="42"/>
      <c r="DK38" s="49" t="s">
        <v>11</v>
      </c>
      <c r="DL38" s="123" t="s">
        <v>20</v>
      </c>
      <c r="DM38" s="10" t="s">
        <v>61</v>
      </c>
      <c r="DN38" s="124" t="s">
        <v>22</v>
      </c>
      <c r="DO38" s="42"/>
      <c r="DR38" s="49" t="s">
        <v>11</v>
      </c>
      <c r="DS38" s="123" t="s">
        <v>20</v>
      </c>
      <c r="DT38" s="10" t="s">
        <v>61</v>
      </c>
      <c r="DU38" s="124" t="s">
        <v>22</v>
      </c>
      <c r="DV38" s="42"/>
      <c r="DY38" s="49" t="s">
        <v>11</v>
      </c>
      <c r="DZ38" s="123" t="s">
        <v>20</v>
      </c>
      <c r="EA38" s="10" t="s">
        <v>61</v>
      </c>
      <c r="EB38" s="124" t="s">
        <v>22</v>
      </c>
      <c r="EC38" s="42"/>
      <c r="EF38" s="49" t="s">
        <v>11</v>
      </c>
      <c r="EG38" s="123" t="s">
        <v>20</v>
      </c>
      <c r="EH38" s="10" t="s">
        <v>61</v>
      </c>
      <c r="EI38" s="124" t="s">
        <v>22</v>
      </c>
      <c r="EJ38" s="42"/>
    </row>
    <row r="39" spans="1:256" s="99" customFormat="1" x14ac:dyDescent="0.2">
      <c r="A39" s="106" t="s">
        <v>103</v>
      </c>
      <c r="B39" s="99" t="str">
        <f>'Variante Vorgaben'!$B$142</f>
        <v>Anbaugebläsepritze 1000 l</v>
      </c>
      <c r="C39" s="1242">
        <v>3</v>
      </c>
      <c r="D39" s="503">
        <f>'Variante Vorgaben'!$C$142</f>
        <v>1</v>
      </c>
      <c r="E39" s="213">
        <f>'Variante Vorgaben'!$D$142*(1+Eingabeseite!$C$25)</f>
        <v>37.00164586804997</v>
      </c>
      <c r="F39" s="120">
        <f>C39*E39</f>
        <v>111.00493760414992</v>
      </c>
      <c r="G39" s="271">
        <f t="shared" ref="G39:G65" si="21">F39/$F$67</f>
        <v>1.0932276185849544E-2</v>
      </c>
      <c r="H39" s="106" t="s">
        <v>103</v>
      </c>
      <c r="I39" s="99" t="str">
        <f>'Variante Vorgaben'!$B$142</f>
        <v>Anbaugebläsepritze 1000 l</v>
      </c>
      <c r="J39" s="1243">
        <v>7</v>
      </c>
      <c r="K39" s="503">
        <f>'Variante Vorgaben'!$C$142</f>
        <v>1</v>
      </c>
      <c r="L39" s="213">
        <f>'Variante Vorgaben'!$D$142*(1+Eingabeseite!$C$25)</f>
        <v>37.00164586804997</v>
      </c>
      <c r="M39" s="120">
        <f>J39*L39</f>
        <v>259.01152107634977</v>
      </c>
      <c r="N39" s="613">
        <f>M39/$M$67</f>
        <v>2.0813147434054553E-2</v>
      </c>
      <c r="O39" s="106" t="s">
        <v>103</v>
      </c>
      <c r="P39" s="99" t="str">
        <f>'Variante Vorgaben'!$B$142</f>
        <v>Anbaugebläsepritze 1000 l</v>
      </c>
      <c r="Q39" s="1243">
        <v>12</v>
      </c>
      <c r="R39" s="503">
        <f>'Variante Vorgaben'!$C$142</f>
        <v>1</v>
      </c>
      <c r="S39" s="213">
        <f>'Variante Vorgaben'!$D$142*(1+Eingabeseite!$C$25)</f>
        <v>37.00164586804997</v>
      </c>
      <c r="T39" s="120">
        <f>Q39*S39</f>
        <v>444.01975041659966</v>
      </c>
      <c r="U39" s="613">
        <f>T39/$T$67</f>
        <v>2.4202173572329847E-2</v>
      </c>
      <c r="V39" s="106" t="s">
        <v>103</v>
      </c>
      <c r="W39" s="99" t="str">
        <f>'Variante Vorgaben'!$B$142</f>
        <v>Anbaugebläsepritze 1000 l</v>
      </c>
      <c r="X39" s="1243">
        <v>12</v>
      </c>
      <c r="Y39" s="503">
        <f>'Variante Vorgaben'!$C$142</f>
        <v>1</v>
      </c>
      <c r="Z39" s="213">
        <f>'Variante Vorgaben'!$D$142*(1+Eingabeseite!$C$25)</f>
        <v>37.00164586804997</v>
      </c>
      <c r="AA39" s="120">
        <f>X39*Z39</f>
        <v>444.01975041659966</v>
      </c>
      <c r="AB39" s="613">
        <f>AA39/$AA$67</f>
        <v>2.182413585635665E-2</v>
      </c>
      <c r="AC39" s="106" t="s">
        <v>103</v>
      </c>
      <c r="AD39" s="99" t="str">
        <f>'Variante Vorgaben'!$B$142</f>
        <v>Anbaugebläsepritze 1000 l</v>
      </c>
      <c r="AE39" s="505">
        <f>'Variante Ertragsphase'!C38</f>
        <v>25</v>
      </c>
      <c r="AF39" s="503">
        <f>'Variante Vorgaben'!$C$142</f>
        <v>1</v>
      </c>
      <c r="AG39" s="213">
        <f>'Variante Vorgaben'!$D$142*(1+Eingabeseite!$C$25)</f>
        <v>37.00164586804997</v>
      </c>
      <c r="AH39" s="120">
        <f>AE39*AG39</f>
        <v>925.0411467012492</v>
      </c>
      <c r="AI39" s="613">
        <f>AH39/$AH$67</f>
        <v>3.4798605802974045E-2</v>
      </c>
      <c r="AJ39" s="106" t="s">
        <v>103</v>
      </c>
      <c r="AK39" s="99" t="str">
        <f>'Variante Vorgaben'!$B$142</f>
        <v>Anbaugebläsepritze 1000 l</v>
      </c>
      <c r="AL39" s="505">
        <f>'Variante Ertragsphase'!$C$38</f>
        <v>25</v>
      </c>
      <c r="AM39" s="503">
        <f>'Variante Vorgaben'!$C$142</f>
        <v>1</v>
      </c>
      <c r="AN39" s="213">
        <f>'Variante Vorgaben'!$D$142*(1+Eingabeseite!$C$25)</f>
        <v>37.00164586804997</v>
      </c>
      <c r="AO39" s="120">
        <f>AL39*AN39</f>
        <v>925.0411467012492</v>
      </c>
      <c r="AP39" s="613">
        <f>AO39/$AO$67</f>
        <v>3.1504723647172293E-2</v>
      </c>
      <c r="AQ39" s="106" t="s">
        <v>103</v>
      </c>
      <c r="AR39" s="99" t="str">
        <f>'Variante Vorgaben'!$B$142</f>
        <v>Anbaugebläsepritze 1000 l</v>
      </c>
      <c r="AS39" s="505">
        <f>'Variante Ertragsphase'!$C$38</f>
        <v>25</v>
      </c>
      <c r="AT39" s="503">
        <f>'Variante Vorgaben'!$C$142</f>
        <v>1</v>
      </c>
      <c r="AU39" s="213">
        <f>'Variante Vorgaben'!$D$142*(1+Eingabeseite!$C$25)</f>
        <v>37.00164586804997</v>
      </c>
      <c r="AV39" s="120">
        <f>AS39*AU39</f>
        <v>925.0411467012492</v>
      </c>
      <c r="AW39" s="613">
        <f>AV39/$AV$67</f>
        <v>3.1501884974864051E-2</v>
      </c>
      <c r="AX39" s="106" t="s">
        <v>103</v>
      </c>
      <c r="AY39" s="99" t="str">
        <f>'Variante Vorgaben'!$B$142</f>
        <v>Anbaugebläsepritze 1000 l</v>
      </c>
      <c r="AZ39" s="505">
        <f>'Variante Ertragsphase'!$C$38</f>
        <v>25</v>
      </c>
      <c r="BA39" s="503">
        <f>'Variante Vorgaben'!$C$142</f>
        <v>1</v>
      </c>
      <c r="BB39" s="213">
        <f>'Variante Vorgaben'!$D$142*(1+Eingabeseite!$C$25)</f>
        <v>37.00164586804997</v>
      </c>
      <c r="BC39" s="120">
        <f>AZ39*BB39</f>
        <v>925.0411467012492</v>
      </c>
      <c r="BD39" s="613">
        <f>BC39/$BC$67</f>
        <v>3.149902127293068E-2</v>
      </c>
      <c r="BE39" s="106" t="s">
        <v>103</v>
      </c>
      <c r="BF39" s="99" t="str">
        <f>'Variante Vorgaben'!$B$142</f>
        <v>Anbaugebläsepritze 1000 l</v>
      </c>
      <c r="BG39" s="505">
        <f>'Variante Ertragsphase'!$C$38</f>
        <v>25</v>
      </c>
      <c r="BH39" s="503">
        <f>'Variante Vorgaben'!$C$142</f>
        <v>1</v>
      </c>
      <c r="BI39" s="213">
        <f>'Variante Vorgaben'!$D$142*(1+Eingabeseite!$C$25)</f>
        <v>37.00164586804997</v>
      </c>
      <c r="BJ39" s="120">
        <f>BG39*BI39</f>
        <v>925.0411467012492</v>
      </c>
      <c r="BK39" s="613">
        <f>BJ39/$BJ$67</f>
        <v>3.1496132325335262E-2</v>
      </c>
      <c r="BL39" s="106" t="s">
        <v>103</v>
      </c>
      <c r="BM39" s="99" t="str">
        <f>'Variante Vorgaben'!$B$142</f>
        <v>Anbaugebläsepritze 1000 l</v>
      </c>
      <c r="BN39" s="505">
        <f>'Variante Ertragsphase'!$C$38</f>
        <v>25</v>
      </c>
      <c r="BO39" s="503">
        <f>'Variante Vorgaben'!$C$142</f>
        <v>1</v>
      </c>
      <c r="BP39" s="213">
        <f>'Variante Vorgaben'!$D$142*(1+Eingabeseite!$C$25)</f>
        <v>37.00164586804997</v>
      </c>
      <c r="BQ39" s="120">
        <f>BN39*BP39</f>
        <v>925.0411467012492</v>
      </c>
      <c r="BR39" s="613">
        <f>BQ39/$BQ$67</f>
        <v>3.1493217914259582E-2</v>
      </c>
      <c r="BS39" s="106" t="s">
        <v>103</v>
      </c>
      <c r="BT39" s="99" t="str">
        <f>'Variante Vorgaben'!$B$142</f>
        <v>Anbaugebläsepritze 1000 l</v>
      </c>
      <c r="BU39" s="505">
        <f>'Variante Ertragsphase'!$C$38</f>
        <v>25</v>
      </c>
      <c r="BV39" s="503">
        <f>'Variante Vorgaben'!$C$142</f>
        <v>1</v>
      </c>
      <c r="BW39" s="213">
        <f>'Variante Vorgaben'!$D$142*(1+Eingabeseite!$C$25)</f>
        <v>37.00164586804997</v>
      </c>
      <c r="BX39" s="120">
        <f>BU39*BW39</f>
        <v>925.0411467012492</v>
      </c>
      <c r="BY39" s="613">
        <f>BX39/$BX$67</f>
        <v>3.1490277820090916E-2</v>
      </c>
      <c r="BZ39" s="106" t="s">
        <v>103</v>
      </c>
      <c r="CA39" s="99" t="str">
        <f>'Variante Vorgaben'!$B$142</f>
        <v>Anbaugebläsepritze 1000 l</v>
      </c>
      <c r="CB39" s="505">
        <f>'Variante Ertragsphase'!$C$38</f>
        <v>25</v>
      </c>
      <c r="CC39" s="503">
        <f>'Variante Vorgaben'!$C$142</f>
        <v>1</v>
      </c>
      <c r="CD39" s="213">
        <f>'Variante Vorgaben'!$D$142*(1+Eingabeseite!$C$25)</f>
        <v>37.00164586804997</v>
      </c>
      <c r="CE39" s="120">
        <f>CB39*CD39</f>
        <v>925.0411467012492</v>
      </c>
      <c r="CF39" s="613">
        <f>CE39/$CE$67</f>
        <v>3.1487311821408785E-2</v>
      </c>
      <c r="CG39" s="106" t="s">
        <v>103</v>
      </c>
      <c r="CH39" s="99" t="str">
        <f>'Variante Vorgaben'!$B$142</f>
        <v>Anbaugebläsepritze 1000 l</v>
      </c>
      <c r="CI39" s="505">
        <f>'Variante Ertragsphase'!$C$38</f>
        <v>25</v>
      </c>
      <c r="CJ39" s="503">
        <f>'Variante Vorgaben'!$C$142</f>
        <v>1</v>
      </c>
      <c r="CK39" s="213">
        <f>'Variante Vorgaben'!$D$142*(1+Eingabeseite!$C$25)</f>
        <v>37.00164586804997</v>
      </c>
      <c r="CL39" s="120">
        <f>CI39*CK39</f>
        <v>925.0411467012492</v>
      </c>
      <c r="CM39" s="613">
        <f>CL39/$CL$67</f>
        <v>3.1484319694971605E-2</v>
      </c>
      <c r="CN39" s="106" t="s">
        <v>103</v>
      </c>
      <c r="CO39" s="99" t="str">
        <f>'Variante Vorgaben'!$B$142</f>
        <v>Anbaugebläsepritze 1000 l</v>
      </c>
      <c r="CP39" s="505">
        <f>'Variante Ertragsphase'!$C$38</f>
        <v>25</v>
      </c>
      <c r="CQ39" s="503">
        <f>'Variante Vorgaben'!$C$142</f>
        <v>1</v>
      </c>
      <c r="CR39" s="213">
        <f>'Variante Vorgaben'!$D$142*(1+Eingabeseite!$C$25)</f>
        <v>37.00164586804997</v>
      </c>
      <c r="CS39" s="120">
        <f>CP39*CR39</f>
        <v>925.0411467012492</v>
      </c>
      <c r="CT39" s="613">
        <f>CS39/$CS$67</f>
        <v>3.1481301215703313E-2</v>
      </c>
      <c r="CU39" s="106" t="s">
        <v>103</v>
      </c>
      <c r="CV39" s="99" t="str">
        <f>'Variante Vorgaben'!$B$142</f>
        <v>Anbaugebläsepritze 1000 l</v>
      </c>
      <c r="CW39" s="505">
        <f>'Variante Ertragsphase'!$C$38</f>
        <v>25</v>
      </c>
      <c r="CX39" s="503">
        <f>'Variante Vorgaben'!$C$142</f>
        <v>1</v>
      </c>
      <c r="CY39" s="213">
        <f>'Variante Vorgaben'!$D$142*(1+Eingabeseite!$C$25)</f>
        <v>37.00164586804997</v>
      </c>
      <c r="CZ39" s="120">
        <f>CW39*CY39</f>
        <v>925.0411467012492</v>
      </c>
      <c r="DA39" s="613">
        <f>CZ39/$CZ$67</f>
        <v>3.1478256156679887E-2</v>
      </c>
      <c r="DB39" s="106" t="s">
        <v>103</v>
      </c>
      <c r="DC39" s="99" t="str">
        <f>'Variante Vorgaben'!$B$142</f>
        <v>Anbaugebläsepritze 1000 l</v>
      </c>
      <c r="DD39" s="505">
        <f>'Variante Ertragsphase'!$C$38</f>
        <v>25</v>
      </c>
      <c r="DE39" s="503">
        <f>'Variante Vorgaben'!$C$142</f>
        <v>1</v>
      </c>
      <c r="DF39" s="213">
        <f>'Variante Vorgaben'!$D$142*(1+Eingabeseite!$C$25)</f>
        <v>37.00164586804997</v>
      </c>
      <c r="DG39" s="120">
        <f>DD39*DF39</f>
        <v>925.0411467012492</v>
      </c>
      <c r="DH39" s="613">
        <f>DG39/$DG$67</f>
        <v>3.1475184289115832E-2</v>
      </c>
      <c r="DI39" s="106" t="s">
        <v>103</v>
      </c>
      <c r="DJ39" s="99" t="str">
        <f>'Variante Vorgaben'!$B$142</f>
        <v>Anbaugebläsepritze 1000 l</v>
      </c>
      <c r="DK39" s="505">
        <f>'Variante Ertragsphase'!$C$38</f>
        <v>25</v>
      </c>
      <c r="DL39" s="503">
        <f>'Variante Vorgaben'!$C$142</f>
        <v>1</v>
      </c>
      <c r="DM39" s="213">
        <f>'Variante Vorgaben'!$D$142*(1+Eingabeseite!$C$25)</f>
        <v>37.00164586804997</v>
      </c>
      <c r="DN39" s="120">
        <f>DK39*DM39</f>
        <v>925.0411467012492</v>
      </c>
      <c r="DO39" s="613">
        <f>DN39/$DN$67</f>
        <v>3.1472085382350537E-2</v>
      </c>
      <c r="DP39" s="106" t="s">
        <v>103</v>
      </c>
      <c r="DQ39" s="99" t="str">
        <f>'Variante Vorgaben'!$B$142</f>
        <v>Anbaugebläsepritze 1000 l</v>
      </c>
      <c r="DR39" s="505">
        <f>'Variante Ertragsphase'!$C$38</f>
        <v>25</v>
      </c>
      <c r="DS39" s="503">
        <f>'Variante Vorgaben'!$C$142</f>
        <v>1</v>
      </c>
      <c r="DT39" s="213">
        <f>'Variante Vorgaben'!$D$142*(1+Eingabeseite!$C$25)</f>
        <v>37.00164586804997</v>
      </c>
      <c r="DU39" s="120">
        <f>DR39*DT39</f>
        <v>925.0411467012492</v>
      </c>
      <c r="DV39" s="613">
        <f>DU39/$DU$67</f>
        <v>3.1468959203834634E-2</v>
      </c>
      <c r="DW39" s="106" t="s">
        <v>103</v>
      </c>
      <c r="DX39" s="99" t="str">
        <f>'Variante Vorgaben'!$B$142</f>
        <v>Anbaugebläsepritze 1000 l</v>
      </c>
      <c r="DY39" s="505">
        <f>'Variante Ertragsphase'!$C$38</f>
        <v>25</v>
      </c>
      <c r="DZ39" s="503">
        <f>'Variante Vorgaben'!$C$142</f>
        <v>1</v>
      </c>
      <c r="EA39" s="213">
        <f>'Variante Vorgaben'!$D$142*(1+Eingabeseite!$C$25)</f>
        <v>37.00164586804997</v>
      </c>
      <c r="EB39" s="120">
        <f>DY39*EA39</f>
        <v>925.0411467012492</v>
      </c>
      <c r="EC39" s="613">
        <f>EB39/$EB$67</f>
        <v>3.1465805519116249E-2</v>
      </c>
      <c r="ED39" s="106" t="s">
        <v>103</v>
      </c>
      <c r="EE39" s="99" t="str">
        <f>'Variante Vorgaben'!$B$142</f>
        <v>Anbaugebläsepritze 1000 l</v>
      </c>
      <c r="EF39" s="505">
        <f>'Variante Ertragsphase'!$C$38</f>
        <v>25</v>
      </c>
      <c r="EG39" s="503">
        <f>'Variante Vorgaben'!$C$142</f>
        <v>1</v>
      </c>
      <c r="EH39" s="213">
        <f>'Variante Vorgaben'!$D$142*(1+Eingabeseite!$C$25)</f>
        <v>37.00164586804997</v>
      </c>
      <c r="EI39" s="120">
        <f>EF39*EH39</f>
        <v>925.0411467012492</v>
      </c>
      <c r="EJ39" s="613">
        <f>EI39/$EI$67</f>
        <v>2.6130167441987377E-2</v>
      </c>
    </row>
    <row r="40" spans="1:256" s="99" customFormat="1" x14ac:dyDescent="0.2">
      <c r="A40" s="106"/>
      <c r="B40" s="99" t="str">
        <f>'Variante Vorgaben'!$B$143</f>
        <v>Herbizidspritze beideseitig + Herbizidfass</v>
      </c>
      <c r="C40" s="1032">
        <v>2</v>
      </c>
      <c r="D40" s="503">
        <f>'Variante Vorgaben'!$C$143</f>
        <v>1</v>
      </c>
      <c r="E40" s="213">
        <f>'Variante Vorgaben'!$D$143*(1+Eingabeseite!$C$25)</f>
        <v>42.001868282651316</v>
      </c>
      <c r="F40" s="120">
        <f t="shared" ref="F40:F41" si="22">C40*E40</f>
        <v>84.003736565302631</v>
      </c>
      <c r="G40" s="271">
        <f t="shared" si="21"/>
        <v>8.273073870372627E-3</v>
      </c>
      <c r="H40" s="106"/>
      <c r="I40" s="99" t="str">
        <f>'Variante Vorgaben'!$B$143</f>
        <v>Herbizidspritze beideseitig + Herbizidfass</v>
      </c>
      <c r="J40" s="1032">
        <v>2</v>
      </c>
      <c r="K40" s="503">
        <f>'Variante Vorgaben'!$C$143</f>
        <v>1</v>
      </c>
      <c r="L40" s="213">
        <f>'Variante Vorgaben'!$D$143*(1+Eingabeseite!$C$25)</f>
        <v>42.001868282651316</v>
      </c>
      <c r="M40" s="120">
        <f t="shared" ref="M40:M41" si="23">J40*L40</f>
        <v>84.003736565302631</v>
      </c>
      <c r="N40" s="613">
        <f>M40/$M$67</f>
        <v>6.7502099786122876E-3</v>
      </c>
      <c r="O40" s="106"/>
      <c r="P40" s="99" t="str">
        <f>'Variante Vorgaben'!$B$143</f>
        <v>Herbizidspritze beideseitig + Herbizidfass</v>
      </c>
      <c r="Q40" s="1032">
        <v>2</v>
      </c>
      <c r="R40" s="503">
        <f>'Variante Vorgaben'!$C$143</f>
        <v>1</v>
      </c>
      <c r="S40" s="213">
        <f>'Variante Vorgaben'!$D$143*(1+Eingabeseite!$C$25)</f>
        <v>42.001868282651316</v>
      </c>
      <c r="T40" s="120">
        <f t="shared" ref="T40:T41" si="24">Q40*S40</f>
        <v>84.003736565302631</v>
      </c>
      <c r="U40" s="613">
        <f>T40/$T$67</f>
        <v>4.5787895947651059E-3</v>
      </c>
      <c r="V40" s="106"/>
      <c r="W40" s="99" t="str">
        <f>'Variante Vorgaben'!$B$143</f>
        <v>Herbizidspritze beideseitig + Herbizidfass</v>
      </c>
      <c r="X40" s="1032">
        <v>2</v>
      </c>
      <c r="Y40" s="503">
        <f>'Variante Vorgaben'!$C$143</f>
        <v>1</v>
      </c>
      <c r="Z40" s="213">
        <f>'Variante Vorgaben'!$D$143*(1+Eingabeseite!$C$25)</f>
        <v>42.001868282651316</v>
      </c>
      <c r="AA40" s="120">
        <f t="shared" ref="AA40:AA41" si="25">X40*Z40</f>
        <v>84.003736565302631</v>
      </c>
      <c r="AB40" s="613">
        <f>AA40/$AA$67</f>
        <v>4.128890567418826E-3</v>
      </c>
      <c r="AC40" s="106"/>
      <c r="AD40" s="99" t="str">
        <f>'Variante Vorgaben'!$B$143</f>
        <v>Herbizidspritze beideseitig + Herbizidfass</v>
      </c>
      <c r="AE40" s="505">
        <f>'Variante Ertragsphase'!C39</f>
        <v>3</v>
      </c>
      <c r="AF40" s="503">
        <f>'Variante Vorgaben'!$C$143</f>
        <v>1</v>
      </c>
      <c r="AG40" s="213">
        <f>'Variante Vorgaben'!$D$143*(1+Eingabeseite!$C$25)</f>
        <v>42.001868282651316</v>
      </c>
      <c r="AH40" s="120">
        <f t="shared" ref="AH40:AH41" si="26">AE40*AG40</f>
        <v>126.00560484795395</v>
      </c>
      <c r="AI40" s="613">
        <f>AH40/$AH$67</f>
        <v>4.7401344120807888E-3</v>
      </c>
      <c r="AJ40" s="106"/>
      <c r="AK40" s="99" t="str">
        <f>'Variante Vorgaben'!$B$143</f>
        <v>Herbizidspritze beideseitig + Herbizidfass</v>
      </c>
      <c r="AL40" s="505">
        <f>'Variante Ertragsphase'!$C$39</f>
        <v>3</v>
      </c>
      <c r="AM40" s="503">
        <f>'Variante Vorgaben'!$C$143</f>
        <v>1</v>
      </c>
      <c r="AN40" s="213">
        <f>'Variante Vorgaben'!$D$143*(1+Eingabeseite!$C$25)</f>
        <v>42.001868282651316</v>
      </c>
      <c r="AO40" s="120">
        <f t="shared" ref="AO40:AO41" si="27">AL40*AN40</f>
        <v>126.00560484795395</v>
      </c>
      <c r="AP40" s="613">
        <f>AO40/$AO$67</f>
        <v>4.2914542481553618E-3</v>
      </c>
      <c r="AQ40" s="106"/>
      <c r="AR40" s="99" t="str">
        <f>'Variante Vorgaben'!$B$143</f>
        <v>Herbizidspritze beideseitig + Herbizidfass</v>
      </c>
      <c r="AS40" s="505">
        <f>'Variante Ertragsphase'!$C$39</f>
        <v>3</v>
      </c>
      <c r="AT40" s="503">
        <f>'Variante Vorgaben'!$C$143</f>
        <v>1</v>
      </c>
      <c r="AU40" s="213">
        <f>'Variante Vorgaben'!$D$143*(1+Eingabeseite!$C$25)</f>
        <v>42.001868282651316</v>
      </c>
      <c r="AV40" s="120">
        <f t="shared" ref="AV40:AV41" si="28">AS40*AU40</f>
        <v>126.00560484795395</v>
      </c>
      <c r="AW40" s="613">
        <f>AV40/$AV$67</f>
        <v>4.2910675749544547E-3</v>
      </c>
      <c r="AX40" s="106"/>
      <c r="AY40" s="99" t="str">
        <f>'Variante Vorgaben'!$B$143</f>
        <v>Herbizidspritze beideseitig + Herbizidfass</v>
      </c>
      <c r="AZ40" s="505">
        <f>'Variante Ertragsphase'!$C$39</f>
        <v>3</v>
      </c>
      <c r="BA40" s="503">
        <f>'Variante Vorgaben'!$C$143</f>
        <v>1</v>
      </c>
      <c r="BB40" s="213">
        <f>'Variante Vorgaben'!$D$143*(1+Eingabeseite!$C$25)</f>
        <v>42.001868282651316</v>
      </c>
      <c r="BC40" s="120">
        <f t="shared" ref="BC40:BC41" si="29">AZ40*BB40</f>
        <v>126.00560484795395</v>
      </c>
      <c r="BD40" s="613">
        <f>BC40/$BC$67</f>
        <v>4.2906774923127198E-3</v>
      </c>
      <c r="BE40" s="106"/>
      <c r="BF40" s="99" t="str">
        <f>'Variante Vorgaben'!$B$143</f>
        <v>Herbizidspritze beideseitig + Herbizidfass</v>
      </c>
      <c r="BG40" s="505">
        <f>'Variante Ertragsphase'!$C$39</f>
        <v>3</v>
      </c>
      <c r="BH40" s="503">
        <f>'Variante Vorgaben'!$C$143</f>
        <v>1</v>
      </c>
      <c r="BI40" s="213">
        <f>'Variante Vorgaben'!$D$143*(1+Eingabeseite!$C$25)</f>
        <v>42.001868282651316</v>
      </c>
      <c r="BJ40" s="120">
        <f t="shared" ref="BJ40:BJ41" si="30">BG40*BI40</f>
        <v>126.00560484795395</v>
      </c>
      <c r="BK40" s="613">
        <f>BJ40/$BJ$67</f>
        <v>4.2902839708024252E-3</v>
      </c>
      <c r="BL40" s="106"/>
      <c r="BM40" s="99" t="str">
        <f>'Variante Vorgaben'!$B$143</f>
        <v>Herbizidspritze beideseitig + Herbizidfass</v>
      </c>
      <c r="BN40" s="505">
        <f>'Variante Ertragsphase'!$C$39</f>
        <v>3</v>
      </c>
      <c r="BO40" s="503">
        <f>'Variante Vorgaben'!$C$143</f>
        <v>1</v>
      </c>
      <c r="BP40" s="213">
        <f>'Variante Vorgaben'!$D$143*(1+Eingabeseite!$C$25)</f>
        <v>42.001868282651316</v>
      </c>
      <c r="BQ40" s="120">
        <f t="shared" ref="BQ40:BQ41" si="31">BN40*BP40</f>
        <v>126.00560484795395</v>
      </c>
      <c r="BR40" s="613">
        <f>BQ40/$BQ$67</f>
        <v>4.2898869807531971E-3</v>
      </c>
      <c r="BS40" s="106"/>
      <c r="BT40" s="99" t="str">
        <f>'Variante Vorgaben'!$B$143</f>
        <v>Herbizidspritze beideseitig + Herbizidfass</v>
      </c>
      <c r="BU40" s="505">
        <f>'Variante Ertragsphase'!$C$39</f>
        <v>3</v>
      </c>
      <c r="BV40" s="503">
        <f>'Variante Vorgaben'!$C$143</f>
        <v>1</v>
      </c>
      <c r="BW40" s="213">
        <f>'Variante Vorgaben'!$D$143*(1+Eingabeseite!$C$25)</f>
        <v>42.001868282651316</v>
      </c>
      <c r="BX40" s="120">
        <f t="shared" ref="BX40:BX41" si="32">BU40*BW40</f>
        <v>126.00560484795395</v>
      </c>
      <c r="BY40" s="613">
        <f>BX40/$BX$67</f>
        <v>4.2894864922502227E-3</v>
      </c>
      <c r="BZ40" s="106"/>
      <c r="CA40" s="99" t="str">
        <f>'Variante Vorgaben'!$B$143</f>
        <v>Herbizidspritze beideseitig + Herbizidfass</v>
      </c>
      <c r="CB40" s="505">
        <f>'Variante Ertragsphase'!$C$39</f>
        <v>3</v>
      </c>
      <c r="CC40" s="503">
        <f>'Variante Vorgaben'!$C$143</f>
        <v>1</v>
      </c>
      <c r="CD40" s="213">
        <f>'Variante Vorgaben'!$D$143*(1+Eingabeseite!$C$25)</f>
        <v>42.001868282651316</v>
      </c>
      <c r="CE40" s="120">
        <f t="shared" ref="CE40:CE41" si="33">CB40*CD40</f>
        <v>126.00560484795395</v>
      </c>
      <c r="CF40" s="613">
        <f>CE40/$CE$67</f>
        <v>4.28908247513244E-3</v>
      </c>
      <c r="CG40" s="106"/>
      <c r="CH40" s="99" t="str">
        <f>'Variante Vorgaben'!$B$143</f>
        <v>Herbizidspritze beideseitig + Herbizidfass</v>
      </c>
      <c r="CI40" s="505">
        <f>'Variante Ertragsphase'!$C$39</f>
        <v>3</v>
      </c>
      <c r="CJ40" s="503">
        <f>'Variante Vorgaben'!$C$143</f>
        <v>1</v>
      </c>
      <c r="CK40" s="213">
        <f>'Variante Vorgaben'!$D$143*(1+Eingabeseite!$C$25)</f>
        <v>42.001868282651316</v>
      </c>
      <c r="CL40" s="120">
        <f t="shared" ref="CL40:CL41" si="34">CI40*CK40</f>
        <v>126.00560484795395</v>
      </c>
      <c r="CM40" s="613">
        <f>CL40/$CL$67</f>
        <v>4.2886748989907266E-3</v>
      </c>
      <c r="CN40" s="106"/>
      <c r="CO40" s="99" t="str">
        <f>'Variante Vorgaben'!$B$143</f>
        <v>Herbizidspritze beideseitig + Herbizidfass</v>
      </c>
      <c r="CP40" s="505">
        <f>'Variante Ertragsphase'!$C$39</f>
        <v>3</v>
      </c>
      <c r="CQ40" s="503">
        <f>'Variante Vorgaben'!$C$143</f>
        <v>1</v>
      </c>
      <c r="CR40" s="213">
        <f>'Variante Vorgaben'!$D$143*(1+Eingabeseite!$C$25)</f>
        <v>42.001868282651316</v>
      </c>
      <c r="CS40" s="120">
        <f t="shared" ref="CS40:CS41" si="35">CP40*CR40</f>
        <v>126.00560484795395</v>
      </c>
      <c r="CT40" s="613">
        <f>CS40/$CS$67</f>
        <v>4.2882637331660726E-3</v>
      </c>
      <c r="CU40" s="106"/>
      <c r="CV40" s="99" t="str">
        <f>'Variante Vorgaben'!$B$143</f>
        <v>Herbizidspritze beideseitig + Herbizidfass</v>
      </c>
      <c r="CW40" s="505">
        <f>'Variante Ertragsphase'!$C$39</f>
        <v>3</v>
      </c>
      <c r="CX40" s="503">
        <f>'Variante Vorgaben'!$C$143</f>
        <v>1</v>
      </c>
      <c r="CY40" s="213">
        <f>'Variante Vorgaben'!$D$143*(1+Eingabeseite!$C$25)</f>
        <v>42.001868282651316</v>
      </c>
      <c r="CZ40" s="120">
        <f t="shared" ref="CZ40:CZ41" si="36">CW40*CY40</f>
        <v>126.00560484795395</v>
      </c>
      <c r="DA40" s="613">
        <f>CZ40/$CZ$67</f>
        <v>4.2878489467477474E-3</v>
      </c>
      <c r="DB40" s="106"/>
      <c r="DC40" s="99" t="str">
        <f>'Variante Vorgaben'!$B$143</f>
        <v>Herbizidspritze beideseitig + Herbizidfass</v>
      </c>
      <c r="DD40" s="505">
        <f>'Variante Ertragsphase'!$C$39</f>
        <v>3</v>
      </c>
      <c r="DE40" s="503">
        <f>'Variante Vorgaben'!$C$143</f>
        <v>1</v>
      </c>
      <c r="DF40" s="213">
        <f>'Variante Vorgaben'!$D$143*(1+Eingabeseite!$C$25)</f>
        <v>42.001868282651316</v>
      </c>
      <c r="DG40" s="120">
        <f t="shared" ref="DG40:DG41" si="37">DD40*DF40</f>
        <v>126.00560484795395</v>
      </c>
      <c r="DH40" s="613">
        <f>DG40/$DG$67</f>
        <v>4.2874305085714541E-3</v>
      </c>
      <c r="DI40" s="106"/>
      <c r="DJ40" s="99" t="str">
        <f>'Variante Vorgaben'!$B$143</f>
        <v>Herbizidspritze beideseitig + Herbizidfass</v>
      </c>
      <c r="DK40" s="505">
        <f>'Variante Ertragsphase'!$C$39</f>
        <v>3</v>
      </c>
      <c r="DL40" s="503">
        <f>'Variante Vorgaben'!$C$143</f>
        <v>1</v>
      </c>
      <c r="DM40" s="213">
        <f>'Variante Vorgaben'!$D$143*(1+Eingabeseite!$C$25)</f>
        <v>42.001868282651316</v>
      </c>
      <c r="DN40" s="120">
        <f t="shared" ref="DN40:DN41" si="38">DK40*DM40</f>
        <v>126.00560484795395</v>
      </c>
      <c r="DO40" s="613">
        <f>DN40/$DN$67</f>
        <v>4.2870083872174787E-3</v>
      </c>
      <c r="DP40" s="106"/>
      <c r="DQ40" s="99" t="str">
        <f>'Variante Vorgaben'!$B$143</f>
        <v>Herbizidspritze beideseitig + Herbizidfass</v>
      </c>
      <c r="DR40" s="505">
        <f>'Variante Ertragsphase'!$C$39</f>
        <v>3</v>
      </c>
      <c r="DS40" s="503">
        <f>'Variante Vorgaben'!$C$143</f>
        <v>1</v>
      </c>
      <c r="DT40" s="213">
        <f>'Variante Vorgaben'!$D$143*(1+Eingabeseite!$C$25)</f>
        <v>42.001868282651316</v>
      </c>
      <c r="DU40" s="120">
        <f t="shared" ref="DU40:DU41" si="39">DR40*DT40</f>
        <v>126.00560484795395</v>
      </c>
      <c r="DV40" s="613">
        <f>DU40/$DU$67</f>
        <v>4.286582551008826E-3</v>
      </c>
      <c r="DW40" s="106"/>
      <c r="DX40" s="99" t="str">
        <f>'Variante Vorgaben'!$B$143</f>
        <v>Herbizidspritze beideseitig + Herbizidfass</v>
      </c>
      <c r="DY40" s="505">
        <f>'Variante Ertragsphase'!$C$39</f>
        <v>3</v>
      </c>
      <c r="DZ40" s="503">
        <f>'Variante Vorgaben'!$C$143</f>
        <v>1</v>
      </c>
      <c r="EA40" s="213">
        <f>'Variante Vorgaben'!$D$143*(1+Eingabeseite!$C$25)</f>
        <v>42.001868282651316</v>
      </c>
      <c r="EB40" s="120">
        <f t="shared" ref="EB40:EB41" si="40">DY40*EA40</f>
        <v>126.00560484795395</v>
      </c>
      <c r="EC40" s="613">
        <f>EB40/$EB$67</f>
        <v>4.2861529680093486E-3</v>
      </c>
      <c r="ED40" s="106"/>
      <c r="EE40" s="99" t="str">
        <f>'Variante Vorgaben'!$B$143</f>
        <v>Herbizidspritze beideseitig + Herbizidfass</v>
      </c>
      <c r="EF40" s="505">
        <f>'Variante Ertragsphase'!$C$39</f>
        <v>3</v>
      </c>
      <c r="EG40" s="503">
        <f>'Variante Vorgaben'!$C$143</f>
        <v>1</v>
      </c>
      <c r="EH40" s="213">
        <f>'Variante Vorgaben'!$D$143*(1+Eingabeseite!$C$25)</f>
        <v>42.001868282651316</v>
      </c>
      <c r="EI40" s="120">
        <f t="shared" ref="EI40:EI41" si="41">EF40*EH40</f>
        <v>126.00560484795395</v>
      </c>
      <c r="EJ40" s="613">
        <f>EI40/$EI$67</f>
        <v>3.559352538043686E-3</v>
      </c>
    </row>
    <row r="41" spans="1:256" s="99" customFormat="1" x14ac:dyDescent="0.2">
      <c r="A41" s="106"/>
      <c r="B41" s="99" t="str">
        <f>'Variante Vorgaben'!$B$144</f>
        <v>Düngerstreuer Einkasten 2.5 m</v>
      </c>
      <c r="C41" s="501">
        <f>C19</f>
        <v>0</v>
      </c>
      <c r="D41" s="503">
        <f>'Variante Vorgaben'!$C$144</f>
        <v>1</v>
      </c>
      <c r="E41" s="213">
        <f>'Variante Vorgaben'!$D$144*(1+Eingabeseite!$C$25)</f>
        <v>18.000800692564852</v>
      </c>
      <c r="F41" s="120">
        <f t="shared" si="22"/>
        <v>0</v>
      </c>
      <c r="G41" s="271">
        <f t="shared" si="21"/>
        <v>0</v>
      </c>
      <c r="H41" s="106"/>
      <c r="I41" s="99" t="str">
        <f>'Variante Vorgaben'!$B$144</f>
        <v>Düngerstreuer Einkasten 2.5 m</v>
      </c>
      <c r="J41" s="501">
        <f>J19</f>
        <v>1</v>
      </c>
      <c r="K41" s="503">
        <f>'Variante Vorgaben'!$C$144</f>
        <v>1</v>
      </c>
      <c r="L41" s="213">
        <f>'Variante Vorgaben'!$D$144*(1+Eingabeseite!$C$25)</f>
        <v>18.000800692564852</v>
      </c>
      <c r="M41" s="120">
        <f t="shared" si="23"/>
        <v>18.000800692564852</v>
      </c>
      <c r="N41" s="613">
        <f>M41/$M$67</f>
        <v>1.4464735668454905E-3</v>
      </c>
      <c r="O41" s="106"/>
      <c r="P41" s="99" t="str">
        <f>'Variante Vorgaben'!$B$144</f>
        <v>Düngerstreuer Einkasten 2.5 m</v>
      </c>
      <c r="Q41" s="501">
        <f>Q19</f>
        <v>2</v>
      </c>
      <c r="R41" s="503">
        <f>'Variante Vorgaben'!$C$144</f>
        <v>1</v>
      </c>
      <c r="S41" s="213">
        <f>'Variante Vorgaben'!$D$144*(1+Eingabeseite!$C$25)</f>
        <v>18.000800692564852</v>
      </c>
      <c r="T41" s="120">
        <f t="shared" si="24"/>
        <v>36.001601385129703</v>
      </c>
      <c r="U41" s="613">
        <f>T41/$T$67</f>
        <v>1.9623383977564741E-3</v>
      </c>
      <c r="V41" s="106"/>
      <c r="W41" s="99" t="str">
        <f>'Variante Vorgaben'!$B$144</f>
        <v>Düngerstreuer Einkasten 2.5 m</v>
      </c>
      <c r="X41" s="501">
        <f>X19</f>
        <v>3</v>
      </c>
      <c r="Y41" s="503">
        <f>'Variante Vorgaben'!$C$144</f>
        <v>1</v>
      </c>
      <c r="Z41" s="213">
        <f>'Variante Vorgaben'!$D$144*(1+Eingabeseite!$C$25)</f>
        <v>18.000800692564852</v>
      </c>
      <c r="AA41" s="120">
        <f t="shared" si="25"/>
        <v>54.002402077694555</v>
      </c>
      <c r="AB41" s="613">
        <f>AA41/$AA$67</f>
        <v>2.654286793340674E-3</v>
      </c>
      <c r="AC41" s="106"/>
      <c r="AD41" s="99" t="str">
        <f>'Variante Vorgaben'!$B$144</f>
        <v>Düngerstreuer Einkasten 2.5 m</v>
      </c>
      <c r="AE41" s="501">
        <f>AE19</f>
        <v>3</v>
      </c>
      <c r="AF41" s="503">
        <f>'Variante Vorgaben'!$C$144</f>
        <v>1</v>
      </c>
      <c r="AG41" s="213">
        <f>'Variante Vorgaben'!$D$144*(1+Eingabeseite!$C$25)</f>
        <v>18.000800692564852</v>
      </c>
      <c r="AH41" s="120">
        <f t="shared" si="26"/>
        <v>54.002402077694555</v>
      </c>
      <c r="AI41" s="613">
        <f>AH41/$AH$67</f>
        <v>2.0314861766060526E-3</v>
      </c>
      <c r="AJ41" s="106"/>
      <c r="AK41" s="99" t="str">
        <f>'Variante Vorgaben'!$B$144</f>
        <v>Düngerstreuer Einkasten 2.5 m</v>
      </c>
      <c r="AL41" s="501">
        <f>AL19</f>
        <v>4</v>
      </c>
      <c r="AM41" s="503">
        <f>'Variante Vorgaben'!$C$144</f>
        <v>1</v>
      </c>
      <c r="AN41" s="213">
        <f>'Variante Vorgaben'!$D$144*(1+Eingabeseite!$C$25)</f>
        <v>18.000800692564852</v>
      </c>
      <c r="AO41" s="120">
        <f t="shared" si="27"/>
        <v>72.003202770259406</v>
      </c>
      <c r="AP41" s="613">
        <f>AO41/$AO$67</f>
        <v>2.4522595703744925E-3</v>
      </c>
      <c r="AQ41" s="106"/>
      <c r="AR41" s="99" t="str">
        <f>'Variante Vorgaben'!$B$144</f>
        <v>Düngerstreuer Einkasten 2.5 m</v>
      </c>
      <c r="AS41" s="501">
        <f>AS19</f>
        <v>4</v>
      </c>
      <c r="AT41" s="503">
        <f>'Variante Vorgaben'!$C$144</f>
        <v>1</v>
      </c>
      <c r="AU41" s="213">
        <f>'Variante Vorgaben'!$D$144*(1+Eingabeseite!$C$25)</f>
        <v>18.000800692564852</v>
      </c>
      <c r="AV41" s="120">
        <f t="shared" si="28"/>
        <v>72.003202770259406</v>
      </c>
      <c r="AW41" s="613">
        <f>AV41/$AV$67</f>
        <v>2.4520386142596888E-3</v>
      </c>
      <c r="AX41" s="106"/>
      <c r="AY41" s="99" t="str">
        <f>'Variante Vorgaben'!$B$144</f>
        <v>Düngerstreuer Einkasten 2.5 m</v>
      </c>
      <c r="AZ41" s="501">
        <f>AZ19</f>
        <v>4</v>
      </c>
      <c r="BA41" s="503">
        <f>'Variante Vorgaben'!$C$144</f>
        <v>1</v>
      </c>
      <c r="BB41" s="213">
        <f>'Variante Vorgaben'!$D$144*(1+Eingabeseite!$C$25)</f>
        <v>18.000800692564852</v>
      </c>
      <c r="BC41" s="120">
        <f t="shared" si="29"/>
        <v>72.003202770259406</v>
      </c>
      <c r="BD41" s="613">
        <f>BC41/$BC$67</f>
        <v>2.4518157098929829E-3</v>
      </c>
      <c r="BE41" s="106"/>
      <c r="BF41" s="99" t="str">
        <f>'Variante Vorgaben'!$B$144</f>
        <v>Düngerstreuer Einkasten 2.5 m</v>
      </c>
      <c r="BG41" s="501">
        <f>BG19</f>
        <v>4</v>
      </c>
      <c r="BH41" s="503">
        <f>'Variante Vorgaben'!$C$144</f>
        <v>1</v>
      </c>
      <c r="BI41" s="213">
        <f>'Variante Vorgaben'!$D$144*(1+Eingabeseite!$C$25)</f>
        <v>18.000800692564852</v>
      </c>
      <c r="BJ41" s="120">
        <f t="shared" si="30"/>
        <v>72.003202770259406</v>
      </c>
      <c r="BK41" s="613">
        <f>BJ41/$BJ$67</f>
        <v>2.4515908404585287E-3</v>
      </c>
      <c r="BL41" s="106"/>
      <c r="BM41" s="99" t="str">
        <f>'Variante Vorgaben'!$B$144</f>
        <v>Düngerstreuer Einkasten 2.5 m</v>
      </c>
      <c r="BN41" s="501">
        <f>BN19</f>
        <v>4</v>
      </c>
      <c r="BO41" s="503">
        <f>'Variante Vorgaben'!$C$144</f>
        <v>1</v>
      </c>
      <c r="BP41" s="213">
        <f>'Variante Vorgaben'!$D$144*(1+Eingabeseite!$C$25)</f>
        <v>18.000800692564852</v>
      </c>
      <c r="BQ41" s="120">
        <f t="shared" si="31"/>
        <v>72.003202770259406</v>
      </c>
      <c r="BR41" s="613">
        <f>BQ41/$BQ$67</f>
        <v>2.4513639890018273E-3</v>
      </c>
      <c r="BS41" s="106"/>
      <c r="BT41" s="99" t="str">
        <f>'Variante Vorgaben'!$B$144</f>
        <v>Düngerstreuer Einkasten 2.5 m</v>
      </c>
      <c r="BU41" s="501">
        <f>BU19</f>
        <v>4</v>
      </c>
      <c r="BV41" s="503">
        <f>'Variante Vorgaben'!$C$144</f>
        <v>1</v>
      </c>
      <c r="BW41" s="213">
        <f>'Variante Vorgaben'!$D$144*(1+Eingabeseite!$C$25)</f>
        <v>18.000800692564852</v>
      </c>
      <c r="BX41" s="120">
        <f t="shared" si="32"/>
        <v>72.003202770259406</v>
      </c>
      <c r="BY41" s="613">
        <f>BX41/$BX$67</f>
        <v>2.4511351384286987E-3</v>
      </c>
      <c r="BZ41" s="106"/>
      <c r="CA41" s="99" t="str">
        <f>'Variante Vorgaben'!$B$144</f>
        <v>Düngerstreuer Einkasten 2.5 m</v>
      </c>
      <c r="CB41" s="501">
        <f>CB19</f>
        <v>4</v>
      </c>
      <c r="CC41" s="503">
        <f>'Variante Vorgaben'!$C$144</f>
        <v>1</v>
      </c>
      <c r="CD41" s="213">
        <f>'Variante Vorgaben'!$D$144*(1+Eingabeseite!$C$25)</f>
        <v>18.000800692564852</v>
      </c>
      <c r="CE41" s="120">
        <f t="shared" si="33"/>
        <v>72.003202770259406</v>
      </c>
      <c r="CF41" s="613">
        <f>CE41/$CE$67</f>
        <v>2.4509042715042516E-3</v>
      </c>
      <c r="CG41" s="106"/>
      <c r="CH41" s="99" t="str">
        <f>'Variante Vorgaben'!$B$144</f>
        <v>Düngerstreuer Einkasten 2.5 m</v>
      </c>
      <c r="CI41" s="501">
        <f>CI19</f>
        <v>4</v>
      </c>
      <c r="CJ41" s="503">
        <f>'Variante Vorgaben'!$C$144</f>
        <v>1</v>
      </c>
      <c r="CK41" s="213">
        <f>'Variante Vorgaben'!$D$144*(1+Eingabeseite!$C$25)</f>
        <v>18.000800692564852</v>
      </c>
      <c r="CL41" s="120">
        <f t="shared" si="34"/>
        <v>72.003202770259406</v>
      </c>
      <c r="CM41" s="613">
        <f>CL41/$CL$67</f>
        <v>2.4506713708518438E-3</v>
      </c>
      <c r="CN41" s="106"/>
      <c r="CO41" s="99" t="str">
        <f>'Variante Vorgaben'!$B$144</f>
        <v>Düngerstreuer Einkasten 2.5 m</v>
      </c>
      <c r="CP41" s="501">
        <f>CP19</f>
        <v>4</v>
      </c>
      <c r="CQ41" s="503">
        <f>'Variante Vorgaben'!$C$144</f>
        <v>1</v>
      </c>
      <c r="CR41" s="213">
        <f>'Variante Vorgaben'!$D$144*(1+Eingabeseite!$C$25)</f>
        <v>18.000800692564852</v>
      </c>
      <c r="CS41" s="120">
        <f t="shared" si="35"/>
        <v>72.003202770259406</v>
      </c>
      <c r="CT41" s="613">
        <f>CS41/$CS$67</f>
        <v>2.4504364189520417E-3</v>
      </c>
      <c r="CU41" s="106"/>
      <c r="CV41" s="99" t="str">
        <f>'Variante Vorgaben'!$B$144</f>
        <v>Düngerstreuer Einkasten 2.5 m</v>
      </c>
      <c r="CW41" s="501">
        <f>CW19</f>
        <v>4</v>
      </c>
      <c r="CX41" s="503">
        <f>'Variante Vorgaben'!$C$144</f>
        <v>1</v>
      </c>
      <c r="CY41" s="213">
        <f>'Variante Vorgaben'!$D$144*(1+Eingabeseite!$C$25)</f>
        <v>18.000800692564852</v>
      </c>
      <c r="CZ41" s="120">
        <f t="shared" si="36"/>
        <v>72.003202770259406</v>
      </c>
      <c r="DA41" s="613">
        <f>CZ41/$CZ$67</f>
        <v>2.4501993981415702E-3</v>
      </c>
      <c r="DB41" s="106"/>
      <c r="DC41" s="99" t="str">
        <f>'Variante Vorgaben'!$B$144</f>
        <v>Düngerstreuer Einkasten 2.5 m</v>
      </c>
      <c r="DD41" s="501">
        <f>DD19</f>
        <v>4</v>
      </c>
      <c r="DE41" s="503">
        <f>'Variante Vorgaben'!$C$144</f>
        <v>1</v>
      </c>
      <c r="DF41" s="213">
        <f>'Variante Vorgaben'!$D$144*(1+Eingabeseite!$C$25)</f>
        <v>18.000800692564852</v>
      </c>
      <c r="DG41" s="120">
        <f t="shared" si="37"/>
        <v>72.003202770259406</v>
      </c>
      <c r="DH41" s="613">
        <f>DG41/$DG$67</f>
        <v>2.4499602906122597E-3</v>
      </c>
      <c r="DI41" s="106"/>
      <c r="DJ41" s="99" t="str">
        <f>'Variante Vorgaben'!$B$144</f>
        <v>Düngerstreuer Einkasten 2.5 m</v>
      </c>
      <c r="DK41" s="501">
        <f>DK19</f>
        <v>4</v>
      </c>
      <c r="DL41" s="503">
        <f>'Variante Vorgaben'!$C$144</f>
        <v>1</v>
      </c>
      <c r="DM41" s="213">
        <f>'Variante Vorgaben'!$D$144*(1+Eingabeseite!$C$25)</f>
        <v>18.000800692564852</v>
      </c>
      <c r="DN41" s="120">
        <f t="shared" si="38"/>
        <v>72.003202770259406</v>
      </c>
      <c r="DO41" s="613">
        <f>DN41/$DN$67</f>
        <v>2.4497190784099881E-3</v>
      </c>
      <c r="DP41" s="106"/>
      <c r="DQ41" s="99" t="str">
        <f>'Variante Vorgaben'!$B$144</f>
        <v>Düngerstreuer Einkasten 2.5 m</v>
      </c>
      <c r="DR41" s="501">
        <f>DR19</f>
        <v>4</v>
      </c>
      <c r="DS41" s="503">
        <f>'Variante Vorgaben'!$C$144</f>
        <v>1</v>
      </c>
      <c r="DT41" s="213">
        <f>'Variante Vorgaben'!$D$144*(1+Eingabeseite!$C$25)</f>
        <v>18.000800692564852</v>
      </c>
      <c r="DU41" s="120">
        <f t="shared" si="39"/>
        <v>72.003202770259406</v>
      </c>
      <c r="DV41" s="613">
        <f>DU41/$DU$67</f>
        <v>2.4494757434336155E-3</v>
      </c>
      <c r="DW41" s="106"/>
      <c r="DX41" s="99" t="str">
        <f>'Variante Vorgaben'!$B$144</f>
        <v>Düngerstreuer Einkasten 2.5 m</v>
      </c>
      <c r="DY41" s="501">
        <f>DY19</f>
        <v>4</v>
      </c>
      <c r="DZ41" s="503">
        <f>'Variante Vorgaben'!$C$144</f>
        <v>1</v>
      </c>
      <c r="EA41" s="213">
        <f>'Variante Vorgaben'!$D$144*(1+Eingabeseite!$C$25)</f>
        <v>18.000800692564852</v>
      </c>
      <c r="EB41" s="120">
        <f t="shared" si="40"/>
        <v>72.003202770259406</v>
      </c>
      <c r="EC41" s="613">
        <f>EB41/$EB$67</f>
        <v>2.4492302674339137E-3</v>
      </c>
      <c r="ED41" s="106"/>
      <c r="EE41" s="99" t="str">
        <f>'Variante Vorgaben'!$B$144</f>
        <v>Düngerstreuer Einkasten 2.5 m</v>
      </c>
      <c r="EF41" s="501">
        <f>EF19</f>
        <v>4</v>
      </c>
      <c r="EG41" s="503">
        <f>'Variante Vorgaben'!$C$144</f>
        <v>1</v>
      </c>
      <c r="EH41" s="213">
        <f>'Variante Vorgaben'!$D$144*(1+Eingabeseite!$C$25)</f>
        <v>18.000800692564852</v>
      </c>
      <c r="EI41" s="120">
        <f t="shared" si="41"/>
        <v>72.003202770259406</v>
      </c>
      <c r="EJ41" s="613">
        <f>EI41/$EI$67</f>
        <v>2.0339157360249639E-3</v>
      </c>
    </row>
    <row r="42" spans="1:256" s="99" customFormat="1" x14ac:dyDescent="0.2">
      <c r="B42" s="4" t="str">
        <f>'Variante Vorgaben'!$B$145</f>
        <v>Erntewagen 4 Grosskisten</v>
      </c>
      <c r="C42" s="620">
        <f>'Variante Vorgaben'!$C$145</f>
        <v>960</v>
      </c>
      <c r="D42" s="1"/>
      <c r="E42" s="621">
        <f>'Variante Vorgaben'!$D$145*(1+Eingabeseite!$C$25)</f>
        <v>9.2004092428664777</v>
      </c>
      <c r="F42" s="43">
        <f>D43*E42</f>
        <v>0</v>
      </c>
      <c r="G42" s="271">
        <f t="shared" si="21"/>
        <v>0</v>
      </c>
      <c r="I42" s="4" t="str">
        <f>'Variante Vorgaben'!$B$145</f>
        <v>Erntewagen 4 Grosskisten</v>
      </c>
      <c r="J42" s="620">
        <f>'Variante Vorgaben'!$C$145</f>
        <v>960</v>
      </c>
      <c r="K42" s="1"/>
      <c r="L42" s="621">
        <f>'Variante Vorgaben'!$D$145*(1+Eingabeseite!$C$25)</f>
        <v>9.2004092428664777</v>
      </c>
      <c r="M42" s="43">
        <f>K43*L42</f>
        <v>24.438587051364081</v>
      </c>
      <c r="N42" s="271">
        <f>M42/M67</f>
        <v>1.9637887660992588E-3</v>
      </c>
      <c r="P42" s="4" t="str">
        <f>'Variante Vorgaben'!$B$145</f>
        <v>Erntewagen 4 Grosskisten</v>
      </c>
      <c r="Q42" s="620">
        <f>'Variante Vorgaben'!$C$145</f>
        <v>960</v>
      </c>
      <c r="R42" s="1"/>
      <c r="S42" s="621">
        <f>'Variante Vorgaben'!$D$145*(1+Eingabeseite!$C$25)</f>
        <v>9.2004092428664777</v>
      </c>
      <c r="T42" s="43">
        <f>R43*S42</f>
        <v>40.730978418940133</v>
      </c>
      <c r="U42" s="271">
        <f>T42/T67</f>
        <v>2.2201224349617512E-3</v>
      </c>
      <c r="W42" s="4" t="str">
        <f>'Variante Vorgaben'!$B$145</f>
        <v>Erntewagen 4 Grosskisten</v>
      </c>
      <c r="X42" s="620">
        <f>'Variante Vorgaben'!$C$145</f>
        <v>960</v>
      </c>
      <c r="Y42" s="1"/>
      <c r="Z42" s="621">
        <f>'Variante Vorgaben'!$D$145*(1+Eingabeseite!$C$25)</f>
        <v>9.2004092428664777</v>
      </c>
      <c r="AA42" s="43">
        <f>Y43*Z42</f>
        <v>81.461956837880265</v>
      </c>
      <c r="AB42" s="271">
        <f>AA42/AA67</f>
        <v>4.0039588587816484E-3</v>
      </c>
      <c r="AD42" s="4" t="str">
        <f>'Variante Vorgaben'!$B$145</f>
        <v>Erntewagen 4 Grosskisten</v>
      </c>
      <c r="AE42" s="620">
        <f>'Variante Vorgaben'!$C$145</f>
        <v>960</v>
      </c>
      <c r="AF42" s="1"/>
      <c r="AG42" s="621">
        <f>'Variante Vorgaben'!$D$145*(1+Eingabeseite!$C$25)</f>
        <v>9.2004092428664777</v>
      </c>
      <c r="AH42" s="43">
        <f>AF43*AG42</f>
        <v>162.92391367576053</v>
      </c>
      <c r="AI42" s="271">
        <f>AH42/AH67</f>
        <v>6.1289436346679497E-3</v>
      </c>
      <c r="AK42" s="4" t="str">
        <f>'Variante Vorgaben'!$B$145</f>
        <v>Erntewagen 4 Grosskisten</v>
      </c>
      <c r="AL42" s="620">
        <f>'Variante Vorgaben'!$C$145</f>
        <v>960</v>
      </c>
      <c r="AM42" s="1"/>
      <c r="AN42" s="621">
        <f>'Variante Vorgaben'!$D$145*(1+Eingabeseite!$C$25)</f>
        <v>9.2004092428664777</v>
      </c>
      <c r="AO42" s="43">
        <f>AM43*AN42</f>
        <v>260.67826188121688</v>
      </c>
      <c r="AP42" s="271">
        <f>AO42/AO67</f>
        <v>8.8780878890409847E-3</v>
      </c>
      <c r="AR42" s="4" t="str">
        <f>'Variante Vorgaben'!$B$145</f>
        <v>Erntewagen 4 Grosskisten</v>
      </c>
      <c r="AS42" s="620">
        <f>'Variante Vorgaben'!$C$145</f>
        <v>960</v>
      </c>
      <c r="AT42" s="1"/>
      <c r="AU42" s="621">
        <f>'Variante Vorgaben'!$D$145*(1+Eingabeseite!$C$25)</f>
        <v>9.2004092428664777</v>
      </c>
      <c r="AV42" s="43">
        <f>AT43*AU42</f>
        <v>260.67826188121688</v>
      </c>
      <c r="AW42" s="271">
        <f>AV42/AV67</f>
        <v>8.8772879460697982E-3</v>
      </c>
      <c r="AY42" s="4" t="str">
        <f>'Variante Vorgaben'!$B$145</f>
        <v>Erntewagen 4 Grosskisten</v>
      </c>
      <c r="AZ42" s="620">
        <f>'Variante Vorgaben'!$C$145</f>
        <v>960</v>
      </c>
      <c r="BA42" s="1"/>
      <c r="BB42" s="621">
        <f>'Variante Vorgaben'!$D$145*(1+Eingabeseite!$C$25)</f>
        <v>9.2004092428664777</v>
      </c>
      <c r="BC42" s="43">
        <f>BA43*BB42</f>
        <v>260.67826188121688</v>
      </c>
      <c r="BD42" s="271">
        <f>BC42/BC67</f>
        <v>8.8764809497051487E-3</v>
      </c>
      <c r="BF42" s="4" t="str">
        <f>'Variante Vorgaben'!$B$145</f>
        <v>Erntewagen 4 Grosskisten</v>
      </c>
      <c r="BG42" s="620">
        <f>'Variante Vorgaben'!$C$145</f>
        <v>960</v>
      </c>
      <c r="BH42" s="1"/>
      <c r="BI42" s="621">
        <f>'Variante Vorgaben'!$D$145*(1+Eingabeseite!$C$25)</f>
        <v>9.2004092428664777</v>
      </c>
      <c r="BJ42" s="43">
        <f>BH43*BI42</f>
        <v>260.67826188121688</v>
      </c>
      <c r="BK42" s="271">
        <f>BJ42/BJ67</f>
        <v>8.87566683906745E-3</v>
      </c>
      <c r="BM42" s="4" t="str">
        <f>'Variante Vorgaben'!$B$145</f>
        <v>Erntewagen 4 Grosskisten</v>
      </c>
      <c r="BN42" s="620">
        <f>'Variante Vorgaben'!$C$145</f>
        <v>960</v>
      </c>
      <c r="BO42" s="1"/>
      <c r="BP42" s="621">
        <f>'Variante Vorgaben'!$D$145*(1+Eingabeseite!$C$25)</f>
        <v>9.2004092428664777</v>
      </c>
      <c r="BQ42" s="43">
        <f>BO43*BP42</f>
        <v>260.67826188121688</v>
      </c>
      <c r="BR42" s="271">
        <f>BQ42/BQ67</f>
        <v>8.8748455527751322E-3</v>
      </c>
      <c r="BT42" s="4" t="str">
        <f>'Variante Vorgaben'!$B$145</f>
        <v>Erntewagen 4 Grosskisten</v>
      </c>
      <c r="BU42" s="620">
        <f>'Variante Vorgaben'!$C$145</f>
        <v>960</v>
      </c>
      <c r="BV42" s="1"/>
      <c r="BW42" s="621">
        <f>'Variante Vorgaben'!$D$145*(1+Eingabeseite!$C$25)</f>
        <v>9.2004092428664777</v>
      </c>
      <c r="BX42" s="43">
        <f>BV43*BW42</f>
        <v>260.67826188121688</v>
      </c>
      <c r="BY42" s="271">
        <f>BX42/BX67</f>
        <v>8.8740170289409361E-3</v>
      </c>
      <c r="CA42" s="4" t="str">
        <f>'Variante Vorgaben'!$B$145</f>
        <v>Erntewagen 4 Grosskisten</v>
      </c>
      <c r="CB42" s="620">
        <f>'Variante Vorgaben'!$C$145</f>
        <v>960</v>
      </c>
      <c r="CC42" s="1"/>
      <c r="CD42" s="621">
        <f>'Variante Vorgaben'!$D$145*(1+Eingabeseite!$C$25)</f>
        <v>9.2004092428664777</v>
      </c>
      <c r="CE42" s="43">
        <f>CC43*CD42</f>
        <v>260.67826188121688</v>
      </c>
      <c r="CF42" s="271">
        <f>CE42/CE67</f>
        <v>8.873181205168168E-3</v>
      </c>
      <c r="CH42" s="4" t="str">
        <f>'Variante Vorgaben'!$B$145</f>
        <v>Erntewagen 4 Grosskisten</v>
      </c>
      <c r="CI42" s="620">
        <f>'Variante Vorgaben'!$C$145</f>
        <v>960</v>
      </c>
      <c r="CJ42" s="1"/>
      <c r="CK42" s="621">
        <f>'Variante Vorgaben'!$D$145*(1+Eingabeseite!$C$25)</f>
        <v>9.2004092428664777</v>
      </c>
      <c r="CL42" s="43">
        <f>CJ43*CK42</f>
        <v>260.67826188121688</v>
      </c>
      <c r="CM42" s="271">
        <f>CL42/CL67</f>
        <v>8.8723380185469526E-3</v>
      </c>
      <c r="CO42" s="4" t="str">
        <f>'Variante Vorgaben'!$B$145</f>
        <v>Erntewagen 4 Grosskisten</v>
      </c>
      <c r="CP42" s="620">
        <f>'Variante Vorgaben'!$C$145</f>
        <v>960</v>
      </c>
      <c r="CQ42" s="1"/>
      <c r="CR42" s="621">
        <f>'Variante Vorgaben'!$D$145*(1+Eingabeseite!$C$25)</f>
        <v>9.2004092428664777</v>
      </c>
      <c r="CS42" s="43">
        <f>CQ43*CR42</f>
        <v>260.67826188121688</v>
      </c>
      <c r="CT42" s="271">
        <f>CS42/CS67</f>
        <v>8.8714874056504463E-3</v>
      </c>
      <c r="CV42" s="4" t="str">
        <f>'Variante Vorgaben'!$B$145</f>
        <v>Erntewagen 4 Grosskisten</v>
      </c>
      <c r="CW42" s="620">
        <f>'Variante Vorgaben'!$C$145</f>
        <v>960</v>
      </c>
      <c r="CX42" s="1"/>
      <c r="CY42" s="621">
        <f>'Variante Vorgaben'!$D$145*(1+Eingabeseite!$C$25)</f>
        <v>9.2004092428664777</v>
      </c>
      <c r="CZ42" s="43">
        <f>CX43*CY42</f>
        <v>260.67826188121688</v>
      </c>
      <c r="DA42" s="271">
        <f>CZ42/CZ67</f>
        <v>8.8706293025310537E-3</v>
      </c>
      <c r="DC42" s="4" t="str">
        <f>'Variante Vorgaben'!$B$145</f>
        <v>Erntewagen 4 Grosskisten</v>
      </c>
      <c r="DD42" s="620">
        <f>'Variante Vorgaben'!$C$145</f>
        <v>960</v>
      </c>
      <c r="DE42" s="1"/>
      <c r="DF42" s="621">
        <f>'Variante Vorgaben'!$D$145*(1+Eingabeseite!$C$25)</f>
        <v>9.2004092428664777</v>
      </c>
      <c r="DG42" s="43">
        <f>DE43*DF42</f>
        <v>260.67826188121688</v>
      </c>
      <c r="DH42" s="271">
        <f>DG42/$DG$67</f>
        <v>8.8697636447166057E-3</v>
      </c>
      <c r="DJ42" s="4" t="str">
        <f>'Variante Vorgaben'!$B$145</f>
        <v>Erntewagen 4 Grosskisten</v>
      </c>
      <c r="DK42" s="620">
        <f>'Variante Vorgaben'!$C$145</f>
        <v>960</v>
      </c>
      <c r="DL42" s="1"/>
      <c r="DM42" s="621">
        <f>'Variante Vorgaben'!$D$145*(1+Eingabeseite!$C$25)</f>
        <v>9.2004092428664777</v>
      </c>
      <c r="DN42" s="43">
        <f>DL43*DM42</f>
        <v>260.67826188121688</v>
      </c>
      <c r="DO42" s="271">
        <f>DN42/$DN$67</f>
        <v>8.8688903672065299E-3</v>
      </c>
      <c r="DQ42" s="4" t="str">
        <f>'Variante Vorgaben'!$B$145</f>
        <v>Erntewagen 4 Grosskisten</v>
      </c>
      <c r="DR42" s="620">
        <f>'Variante Vorgaben'!$C$145</f>
        <v>960</v>
      </c>
      <c r="DS42" s="1"/>
      <c r="DT42" s="621">
        <f>'Variante Vorgaben'!$D$145*(1+Eingabeseite!$C$25)</f>
        <v>9.2004092428664777</v>
      </c>
      <c r="DU42" s="43">
        <f>DS43*DT42</f>
        <v>260.67826188121688</v>
      </c>
      <c r="DV42" s="271">
        <f>DU42/$DU$67</f>
        <v>8.8680094044679952E-3</v>
      </c>
      <c r="DX42" s="4" t="str">
        <f>'Variante Vorgaben'!$B$145</f>
        <v>Erntewagen 4 Grosskisten</v>
      </c>
      <c r="DY42" s="620">
        <f>'Variante Vorgaben'!$C$145</f>
        <v>960</v>
      </c>
      <c r="DZ42" s="1"/>
      <c r="EA42" s="621">
        <f>'Variante Vorgaben'!$D$145*(1+Eingabeseite!$C$25)</f>
        <v>9.2004092428664777</v>
      </c>
      <c r="EB42" s="43">
        <f>DZ43*EA42</f>
        <v>260.67826188121688</v>
      </c>
      <c r="EC42" s="271">
        <f>EB42/$EB$67</f>
        <v>8.8671206904320371E-3</v>
      </c>
      <c r="EE42" s="4" t="str">
        <f>'Variante Vorgaben'!$B$145</f>
        <v>Erntewagen 4 Grosskisten</v>
      </c>
      <c r="EF42" s="620">
        <f>'Variante Vorgaben'!$C$145</f>
        <v>960</v>
      </c>
      <c r="EG42" s="1"/>
      <c r="EH42" s="621">
        <f>'Variante Vorgaben'!$D$145*(1+Eingabeseite!$C$25)</f>
        <v>9.2004092428664777</v>
      </c>
      <c r="EI42" s="43">
        <f>EG43*EH42</f>
        <v>260.67826188121688</v>
      </c>
      <c r="EJ42" s="271">
        <f>EI42/$EI$67</f>
        <v>7.3635282665348214E-3</v>
      </c>
    </row>
    <row r="43" spans="1:256" s="99" customFormat="1" x14ac:dyDescent="0.2">
      <c r="B43" s="324" t="s">
        <v>250</v>
      </c>
      <c r="C43" s="622">
        <f>'Variante Vorgaben'!$E$145</f>
        <v>4</v>
      </c>
      <c r="D43" s="623">
        <f>((D9+D10)+('Variante Vorgaben'!$D$95*D12))/C42</f>
        <v>0</v>
      </c>
      <c r="E43" s="624">
        <f>C42/C60/C43*(1+Eingabeseite!$C$25)</f>
        <v>1.9200854072069173</v>
      </c>
      <c r="F43" s="43"/>
      <c r="G43" s="271">
        <f t="shared" si="21"/>
        <v>0</v>
      </c>
      <c r="I43" s="324" t="s">
        <v>250</v>
      </c>
      <c r="J43" s="622">
        <f>'Variante Vorgaben'!$E$145</f>
        <v>4</v>
      </c>
      <c r="K43" s="623">
        <f>((K9+K10)+('Variante Vorgaben'!$D$95*K12))/J42</f>
        <v>2.65625</v>
      </c>
      <c r="L43" s="624">
        <f>J42/J60/J43*(1+Eingabeseite!$C$25)</f>
        <v>1.9200854072069173</v>
      </c>
      <c r="M43" s="43"/>
      <c r="N43" s="271"/>
      <c r="P43" s="324" t="s">
        <v>250</v>
      </c>
      <c r="Q43" s="622">
        <f>'Variante Vorgaben'!$E$145</f>
        <v>4</v>
      </c>
      <c r="R43" s="623">
        <f>((R9+R10)+('Variante Vorgaben'!$D$95*R12))/Q42</f>
        <v>4.427083333333333</v>
      </c>
      <c r="S43" s="624">
        <f>Q42/Q60/Q43*(1+Eingabeseite!$C$25)</f>
        <v>1.9200854072069173</v>
      </c>
      <c r="T43" s="43"/>
      <c r="U43" s="271"/>
      <c r="W43" s="324" t="s">
        <v>250</v>
      </c>
      <c r="X43" s="622">
        <f>'Variante Vorgaben'!$E$145</f>
        <v>4</v>
      </c>
      <c r="Y43" s="623">
        <f>((Y9+Y10)+('Variante Vorgaben'!$D$95*Y12))/X42</f>
        <v>8.8541666666666661</v>
      </c>
      <c r="Z43" s="624">
        <f>X42/X60/X43*(1+Eingabeseite!$C$25)</f>
        <v>1.9200854072069173</v>
      </c>
      <c r="AA43" s="43"/>
      <c r="AB43" s="271"/>
      <c r="AD43" s="324" t="s">
        <v>250</v>
      </c>
      <c r="AE43" s="622">
        <f>'Variante Vorgaben'!$E$145</f>
        <v>4</v>
      </c>
      <c r="AF43" s="623">
        <f>((AF9+AF10)+('Variante Vorgaben'!$D$95*AF12))/AE42</f>
        <v>17.708333333333332</v>
      </c>
      <c r="AG43" s="624">
        <f>AE42/AE60/AE43*(1+Eingabeseite!$C$25)</f>
        <v>1.9200854072069173</v>
      </c>
      <c r="AH43" s="43"/>
      <c r="AI43" s="271"/>
      <c r="AK43" s="324" t="s">
        <v>250</v>
      </c>
      <c r="AL43" s="622">
        <f>'Variante Vorgaben'!$E$145</f>
        <v>4</v>
      </c>
      <c r="AM43" s="623">
        <f>((AM9+AM10)+('Variante Vorgaben'!$D$95*AM12))/AL42</f>
        <v>28.333333333333332</v>
      </c>
      <c r="AN43" s="624">
        <f>AL42/AL60/AL43*(1+Eingabeseite!$C$25)</f>
        <v>1.9200854072069173</v>
      </c>
      <c r="AO43" s="43"/>
      <c r="AP43" s="271"/>
      <c r="AR43" s="324" t="s">
        <v>250</v>
      </c>
      <c r="AS43" s="622">
        <f>'Variante Vorgaben'!$E$145</f>
        <v>4</v>
      </c>
      <c r="AT43" s="623">
        <f>((AT9+AT10)+('Variante Vorgaben'!$D$95*AT12))/AS42</f>
        <v>28.333333333333332</v>
      </c>
      <c r="AU43" s="624">
        <f>AS42/AS60/AS43*(1+Eingabeseite!$C$25)</f>
        <v>1.9200854072069173</v>
      </c>
      <c r="AV43" s="43"/>
      <c r="AW43" s="271"/>
      <c r="AY43" s="324" t="s">
        <v>250</v>
      </c>
      <c r="AZ43" s="622">
        <f>'Variante Vorgaben'!$E$145</f>
        <v>4</v>
      </c>
      <c r="BA43" s="623">
        <f>((BA9+BA10)+('Variante Vorgaben'!$D$95*BA12))/AZ42</f>
        <v>28.333333333333332</v>
      </c>
      <c r="BB43" s="624">
        <f>AZ42/AZ60/AZ43*(1+Eingabeseite!$C$25)</f>
        <v>1.9200854072069173</v>
      </c>
      <c r="BC43" s="43"/>
      <c r="BD43" s="271"/>
      <c r="BF43" s="324" t="s">
        <v>250</v>
      </c>
      <c r="BG43" s="622">
        <f>'Variante Vorgaben'!$E$145</f>
        <v>4</v>
      </c>
      <c r="BH43" s="623">
        <f>((BH9+BH10)+('Variante Vorgaben'!$D$95*BH12))/BG42</f>
        <v>28.333333333333332</v>
      </c>
      <c r="BI43" s="624">
        <f>BG42/BG60/BG43*(1+Eingabeseite!$C$25)</f>
        <v>1.9200854072069173</v>
      </c>
      <c r="BJ43" s="43"/>
      <c r="BK43" s="271"/>
      <c r="BM43" s="324" t="s">
        <v>250</v>
      </c>
      <c r="BN43" s="622">
        <f>'Variante Vorgaben'!$E$145</f>
        <v>4</v>
      </c>
      <c r="BO43" s="623">
        <f>((BO9+BO10)+('Variante Vorgaben'!$D$95*BO12))/BN42</f>
        <v>28.333333333333332</v>
      </c>
      <c r="BP43" s="624">
        <f>BN42/BN60/BN43*(1+Eingabeseite!$C$25)</f>
        <v>1.9200854072069173</v>
      </c>
      <c r="BQ43" s="43"/>
      <c r="BR43" s="271"/>
      <c r="BT43" s="324" t="s">
        <v>250</v>
      </c>
      <c r="BU43" s="622">
        <f>'Variante Vorgaben'!$E$145</f>
        <v>4</v>
      </c>
      <c r="BV43" s="623">
        <f>((BV9+BV10)+('Variante Vorgaben'!$D$95*BV12))/BU42</f>
        <v>28.333333333333332</v>
      </c>
      <c r="BW43" s="624">
        <f>BU42/BU60/BU43*(1+Eingabeseite!$C$25)</f>
        <v>1.9200854072069173</v>
      </c>
      <c r="BX43" s="43"/>
      <c r="BY43" s="271"/>
      <c r="CA43" s="324" t="s">
        <v>250</v>
      </c>
      <c r="CB43" s="622">
        <f>'Variante Vorgaben'!$E$145</f>
        <v>4</v>
      </c>
      <c r="CC43" s="623">
        <f>((CC9+CC10)+('Variante Vorgaben'!$D$95*CC12))/CB42</f>
        <v>28.333333333333332</v>
      </c>
      <c r="CD43" s="624">
        <f>CB42/CB60/CB43*(1+Eingabeseite!$C$25)</f>
        <v>1.9200854072069173</v>
      </c>
      <c r="CE43" s="43"/>
      <c r="CF43" s="271"/>
      <c r="CH43" s="324" t="s">
        <v>250</v>
      </c>
      <c r="CI43" s="622">
        <f>'Variante Vorgaben'!$E$145</f>
        <v>4</v>
      </c>
      <c r="CJ43" s="623">
        <f>((CJ9+CJ10)+('Variante Vorgaben'!$D$95*CJ12))/CI42</f>
        <v>28.333333333333332</v>
      </c>
      <c r="CK43" s="624">
        <f>CI42/CI60/CI43*(1+Eingabeseite!$C$25)</f>
        <v>1.9200854072069173</v>
      </c>
      <c r="CL43" s="43"/>
      <c r="CM43" s="271"/>
      <c r="CO43" s="324" t="s">
        <v>250</v>
      </c>
      <c r="CP43" s="622">
        <f>'Variante Vorgaben'!$E$145</f>
        <v>4</v>
      </c>
      <c r="CQ43" s="623">
        <f>((CQ9+CQ10)+('Variante Vorgaben'!$D$95*CQ12))/CP42</f>
        <v>28.333333333333332</v>
      </c>
      <c r="CR43" s="624">
        <f>CP42/CP60/CP43*(1+Eingabeseite!$C$25)</f>
        <v>1.9200854072069173</v>
      </c>
      <c r="CS43" s="43"/>
      <c r="CT43" s="271"/>
      <c r="CV43" s="324" t="s">
        <v>250</v>
      </c>
      <c r="CW43" s="622">
        <f>'Variante Vorgaben'!$E$145</f>
        <v>4</v>
      </c>
      <c r="CX43" s="623">
        <f>((CX9+CX10)+('Variante Vorgaben'!$D$95*CX12))/CW42</f>
        <v>28.333333333333332</v>
      </c>
      <c r="CY43" s="624">
        <f>CW42/CW60/CW43*(1+Eingabeseite!$C$25)</f>
        <v>1.9200854072069173</v>
      </c>
      <c r="CZ43" s="43"/>
      <c r="DA43" s="271"/>
      <c r="DC43" s="324" t="s">
        <v>250</v>
      </c>
      <c r="DD43" s="622">
        <f>'Variante Vorgaben'!$E$145</f>
        <v>4</v>
      </c>
      <c r="DE43" s="623">
        <f>((DE9+DE10)+('Variante Vorgaben'!$D$95*DE12))/DD42</f>
        <v>28.333333333333332</v>
      </c>
      <c r="DF43" s="624">
        <f>DD42/DD60/DD43*(1+Eingabeseite!$C$25)</f>
        <v>1.9200854072069173</v>
      </c>
      <c r="DG43" s="43"/>
      <c r="DH43" s="271"/>
      <c r="DJ43" s="324" t="s">
        <v>250</v>
      </c>
      <c r="DK43" s="622">
        <f>'Variante Vorgaben'!$E$145</f>
        <v>4</v>
      </c>
      <c r="DL43" s="623">
        <f>((DL9+DL10)+('Variante Vorgaben'!$D$95*DL12))/DK42</f>
        <v>28.333333333333332</v>
      </c>
      <c r="DM43" s="624">
        <f>DK42/DK60/DK43*(1+Eingabeseite!$C$25)</f>
        <v>1.9200854072069173</v>
      </c>
      <c r="DN43" s="43"/>
      <c r="DO43" s="271"/>
      <c r="DQ43" s="324" t="s">
        <v>250</v>
      </c>
      <c r="DR43" s="622">
        <f>'Variante Vorgaben'!$E$145</f>
        <v>4</v>
      </c>
      <c r="DS43" s="623">
        <f>((DS9+DS10)+('Variante Vorgaben'!$D$95*DS12))/DR42</f>
        <v>28.333333333333332</v>
      </c>
      <c r="DT43" s="624">
        <f>DR42/DR60/DR43*(1+Eingabeseite!$C$25)</f>
        <v>1.9200854072069173</v>
      </c>
      <c r="DU43" s="43"/>
      <c r="DV43" s="271"/>
      <c r="DX43" s="324" t="s">
        <v>250</v>
      </c>
      <c r="DY43" s="622">
        <f>'Variante Vorgaben'!$E$145</f>
        <v>4</v>
      </c>
      <c r="DZ43" s="623">
        <f>((DZ9+DZ10)+('Variante Vorgaben'!$D$95*DZ12))/DY42</f>
        <v>28.333333333333332</v>
      </c>
      <c r="EA43" s="624">
        <f>DY42/DY60/DY43*(1+Eingabeseite!$C$25)</f>
        <v>1.9200854072069173</v>
      </c>
      <c r="EB43" s="43"/>
      <c r="EC43" s="271"/>
      <c r="EE43" s="324" t="s">
        <v>250</v>
      </c>
      <c r="EF43" s="622">
        <f>'Variante Vorgaben'!$E$145</f>
        <v>4</v>
      </c>
      <c r="EG43" s="623">
        <f>((EG9+EG10)+('Variante Vorgaben'!$D$95*EG12))/EF42</f>
        <v>28.333333333333332</v>
      </c>
      <c r="EH43" s="624">
        <f>EF42/EF60/EF43*(1+Eingabeseite!$C$25)</f>
        <v>1.9200854072069173</v>
      </c>
      <c r="EI43" s="43"/>
      <c r="EJ43" s="271"/>
    </row>
    <row r="44" spans="1:256" s="1" customFormat="1" x14ac:dyDescent="0.2">
      <c r="A44" s="3"/>
      <c r="B44" s="4" t="str">
        <f>'Variante Vorgaben'!$B$146</f>
        <v>Sichelmulchgerät mit beids. Schwenkarm</v>
      </c>
      <c r="C44" s="46">
        <f>'Variante Vorgaben'!$E$146</f>
        <v>7</v>
      </c>
      <c r="D44" s="51">
        <f>'Variante Vorgaben'!$C$146</f>
        <v>1</v>
      </c>
      <c r="E44" s="62">
        <f>'Variante Vorgaben'!$D$146*(1+Eingabeseite!$C$25)</f>
        <v>42.001868282651316</v>
      </c>
      <c r="F44" s="120">
        <f>C44*E44</f>
        <v>294.01307797855918</v>
      </c>
      <c r="G44" s="271">
        <f t="shared" si="21"/>
        <v>2.8955758546304191E-2</v>
      </c>
      <c r="H44" s="3"/>
      <c r="I44" s="4" t="str">
        <f>'Variante Vorgaben'!$B$146</f>
        <v>Sichelmulchgerät mit beids. Schwenkarm</v>
      </c>
      <c r="J44" s="46">
        <f>'Variante Vorgaben'!$E$146</f>
        <v>7</v>
      </c>
      <c r="K44" s="51">
        <f>'Variante Vorgaben'!$C$146</f>
        <v>1</v>
      </c>
      <c r="L44" s="62">
        <f>'Variante Vorgaben'!$D$146*(1+Eingabeseite!$C$25)</f>
        <v>42.001868282651316</v>
      </c>
      <c r="M44" s="120">
        <f>J44*L44</f>
        <v>294.01307797855918</v>
      </c>
      <c r="N44" s="271">
        <f>M44/$M$68</f>
        <v>7.8993304131799891E-2</v>
      </c>
      <c r="O44" s="3"/>
      <c r="P44" s="4" t="str">
        <f>'Variante Vorgaben'!$B$146</f>
        <v>Sichelmulchgerät mit beids. Schwenkarm</v>
      </c>
      <c r="Q44" s="46">
        <f>'Variante Vorgaben'!$E$146</f>
        <v>7</v>
      </c>
      <c r="R44" s="51">
        <f>'Variante Vorgaben'!$C$146</f>
        <v>1</v>
      </c>
      <c r="S44" s="62">
        <f>'Variante Vorgaben'!$D$146*(1+Eingabeseite!$C$25)</f>
        <v>42.001868282651316</v>
      </c>
      <c r="T44" s="120">
        <f>Q44*S44</f>
        <v>294.01307797855918</v>
      </c>
      <c r="U44" s="271">
        <f>T44/$T$68</f>
        <v>5.3750105663356341E-2</v>
      </c>
      <c r="V44" s="3"/>
      <c r="W44" s="4" t="str">
        <f>'Variante Vorgaben'!$B$146</f>
        <v>Sichelmulchgerät mit beids. Schwenkarm</v>
      </c>
      <c r="X44" s="46">
        <f>'Variante Vorgaben'!$E$146</f>
        <v>7</v>
      </c>
      <c r="Y44" s="51">
        <f>'Variante Vorgaben'!$C$146</f>
        <v>1</v>
      </c>
      <c r="Z44" s="62">
        <f>'Variante Vorgaben'!$D$146*(1+Eingabeseite!$C$25)</f>
        <v>42.001868282651316</v>
      </c>
      <c r="AA44" s="120">
        <f>X44*Z44</f>
        <v>294.01307797855918</v>
      </c>
      <c r="AB44" s="271">
        <f>AA44/$AA$68</f>
        <v>2.987937784334951E-2</v>
      </c>
      <c r="AC44" s="3"/>
      <c r="AD44" s="4" t="str">
        <f>'Variante Vorgaben'!$B$146</f>
        <v>Sichelmulchgerät mit beids. Schwenkarm</v>
      </c>
      <c r="AE44" s="46">
        <f>'Variante Vorgaben'!$E$146</f>
        <v>7</v>
      </c>
      <c r="AF44" s="51">
        <f>'Variante Vorgaben'!$C$146</f>
        <v>1</v>
      </c>
      <c r="AG44" s="62">
        <f>'Variante Vorgaben'!$D$146*(1+Eingabeseite!$C$25)</f>
        <v>42.001868282651316</v>
      </c>
      <c r="AH44" s="120">
        <f>AE44*AG44</f>
        <v>294.01307797855918</v>
      </c>
      <c r="AI44" s="271">
        <f>AH44/$AH$68</f>
        <v>1.5824169966553239E-2</v>
      </c>
      <c r="AJ44" s="3"/>
      <c r="AK44" s="4" t="str">
        <f>'Variante Vorgaben'!$B$146</f>
        <v>Sichelmulchgerät mit beids. Schwenkarm</v>
      </c>
      <c r="AL44" s="46">
        <f>'Variante Vorgaben'!$E$146</f>
        <v>7</v>
      </c>
      <c r="AM44" s="51">
        <f>'Variante Vorgaben'!$C$146</f>
        <v>1</v>
      </c>
      <c r="AN44" s="62">
        <f>'Variante Vorgaben'!$D$146*(1+Eingabeseite!$C$25)</f>
        <v>42.001868282651316</v>
      </c>
      <c r="AO44" s="120">
        <f>AL44*AN44</f>
        <v>294.01307797855918</v>
      </c>
      <c r="AP44" s="271">
        <f>AO44/$AO$68</f>
        <v>1.0114664854085565E-2</v>
      </c>
      <c r="AQ44" s="3"/>
      <c r="AR44" s="4" t="str">
        <f>'Variante Vorgaben'!$B$146</f>
        <v>Sichelmulchgerät mit beids. Schwenkarm</v>
      </c>
      <c r="AS44" s="46">
        <f>'Variante Vorgaben'!$E$146</f>
        <v>7</v>
      </c>
      <c r="AT44" s="51">
        <f>'Variante Vorgaben'!$C$146</f>
        <v>1</v>
      </c>
      <c r="AU44" s="62">
        <f>'Variante Vorgaben'!$D$146*(1+Eingabeseite!$C$25)</f>
        <v>42.001868282651316</v>
      </c>
      <c r="AV44" s="120">
        <f>AS44*AU44</f>
        <v>294.01307797855918</v>
      </c>
      <c r="AW44" s="271">
        <f>AV44/$AV$68</f>
        <v>1.0114664854085565E-2</v>
      </c>
      <c r="AX44" s="3"/>
      <c r="AY44" s="4" t="str">
        <f>'Variante Vorgaben'!$B$146</f>
        <v>Sichelmulchgerät mit beids. Schwenkarm</v>
      </c>
      <c r="AZ44" s="46">
        <f>'Variante Vorgaben'!$E$146</f>
        <v>7</v>
      </c>
      <c r="BA44" s="51">
        <f>'Variante Vorgaben'!$C$146</f>
        <v>1</v>
      </c>
      <c r="BB44" s="62">
        <f>'Variante Vorgaben'!$D$146*(1+Eingabeseite!$C$25)</f>
        <v>42.001868282651316</v>
      </c>
      <c r="BC44" s="120">
        <f>AZ44*BB44</f>
        <v>294.01307797855918</v>
      </c>
      <c r="BD44" s="271">
        <f>BC44/$BC$68</f>
        <v>1.0114664854085565E-2</v>
      </c>
      <c r="BE44" s="3"/>
      <c r="BF44" s="4" t="str">
        <f>'Variante Vorgaben'!$B$146</f>
        <v>Sichelmulchgerät mit beids. Schwenkarm</v>
      </c>
      <c r="BG44" s="46">
        <f>'Variante Vorgaben'!$E$146</f>
        <v>7</v>
      </c>
      <c r="BH44" s="51">
        <f>'Variante Vorgaben'!$C$146</f>
        <v>1</v>
      </c>
      <c r="BI44" s="62">
        <f>'Variante Vorgaben'!$D$146*(1+Eingabeseite!$C$25)</f>
        <v>42.001868282651316</v>
      </c>
      <c r="BJ44" s="120">
        <f>BG44*BI44</f>
        <v>294.01307797855918</v>
      </c>
      <c r="BK44" s="271">
        <f t="shared" ref="BK44:BK50" si="42">BJ44/$BJ$67</f>
        <v>1.0010662598538991E-2</v>
      </c>
      <c r="BL44" s="3"/>
      <c r="BM44" s="4" t="str">
        <f>'Variante Vorgaben'!$B$146</f>
        <v>Sichelmulchgerät mit beids. Schwenkarm</v>
      </c>
      <c r="BN44" s="46">
        <f>'Variante Vorgaben'!$E$146</f>
        <v>7</v>
      </c>
      <c r="BO44" s="51">
        <f>'Variante Vorgaben'!$C$146</f>
        <v>1</v>
      </c>
      <c r="BP44" s="62">
        <f>'Variante Vorgaben'!$D$146*(1+Eingabeseite!$C$25)</f>
        <v>42.001868282651316</v>
      </c>
      <c r="BQ44" s="120">
        <f>BN44*BP44</f>
        <v>294.01307797855918</v>
      </c>
      <c r="BR44" s="271">
        <f>BQ44/$BQ$68</f>
        <v>1.0114664854085565E-2</v>
      </c>
      <c r="BS44" s="3"/>
      <c r="BT44" s="4" t="str">
        <f>'Variante Vorgaben'!$B$146</f>
        <v>Sichelmulchgerät mit beids. Schwenkarm</v>
      </c>
      <c r="BU44" s="46">
        <f>'Variante Vorgaben'!$E$146</f>
        <v>7</v>
      </c>
      <c r="BV44" s="51">
        <f>'Variante Vorgaben'!$C$146</f>
        <v>1</v>
      </c>
      <c r="BW44" s="62">
        <f>'Variante Vorgaben'!$D$146*(1+Eingabeseite!$C$25)</f>
        <v>42.001868282651316</v>
      </c>
      <c r="BX44" s="120">
        <f>BU44*BW44</f>
        <v>294.01307797855918</v>
      </c>
      <c r="BY44" s="271">
        <f>BX44/$BX$68</f>
        <v>1.0114664854085565E-2</v>
      </c>
      <c r="BZ44" s="3"/>
      <c r="CA44" s="4" t="str">
        <f>'Variante Vorgaben'!$B$146</f>
        <v>Sichelmulchgerät mit beids. Schwenkarm</v>
      </c>
      <c r="CB44" s="46">
        <f>'Variante Vorgaben'!$E$146</f>
        <v>7</v>
      </c>
      <c r="CC44" s="51">
        <f>'Variante Vorgaben'!$C$146</f>
        <v>1</v>
      </c>
      <c r="CD44" s="62">
        <f>'Variante Vorgaben'!$D$146*(1+Eingabeseite!$C$25)</f>
        <v>42.001868282651316</v>
      </c>
      <c r="CE44" s="120">
        <f>CB44*CD44</f>
        <v>294.01307797855918</v>
      </c>
      <c r="CF44" s="271">
        <f>CE44/$CE$68</f>
        <v>1.0114664854085565E-2</v>
      </c>
      <c r="CG44" s="3"/>
      <c r="CH44" s="4" t="str">
        <f>'Variante Vorgaben'!$B$146</f>
        <v>Sichelmulchgerät mit beids. Schwenkarm</v>
      </c>
      <c r="CI44" s="46">
        <f>'Variante Vorgaben'!$E$146</f>
        <v>7</v>
      </c>
      <c r="CJ44" s="51">
        <f>'Variante Vorgaben'!$C$146</f>
        <v>1</v>
      </c>
      <c r="CK44" s="62">
        <f>'Variante Vorgaben'!$D$146*(1+Eingabeseite!$C$25)</f>
        <v>42.001868282651316</v>
      </c>
      <c r="CL44" s="120">
        <f>CI44*CK44</f>
        <v>294.01307797855918</v>
      </c>
      <c r="CM44" s="271">
        <f t="shared" ref="CM44:CM50" si="43">CL44/$CL$67</f>
        <v>1.0006908097645028E-2</v>
      </c>
      <c r="CN44" s="3"/>
      <c r="CO44" s="4" t="str">
        <f>'Variante Vorgaben'!$B$146</f>
        <v>Sichelmulchgerät mit beids. Schwenkarm</v>
      </c>
      <c r="CP44" s="46">
        <f>'Variante Vorgaben'!$E$146</f>
        <v>7</v>
      </c>
      <c r="CQ44" s="51">
        <f>'Variante Vorgaben'!$C$146</f>
        <v>1</v>
      </c>
      <c r="CR44" s="62">
        <f>'Variante Vorgaben'!$D$146*(1+Eingabeseite!$C$25)</f>
        <v>42.001868282651316</v>
      </c>
      <c r="CS44" s="120">
        <f>CP44*CR44</f>
        <v>294.01307797855918</v>
      </c>
      <c r="CT44" s="271">
        <f t="shared" ref="CT44:CT50" si="44">CS44/$CS$67</f>
        <v>1.0005948710720835E-2</v>
      </c>
      <c r="CU44" s="3"/>
      <c r="CV44" s="4" t="str">
        <f>'Variante Vorgaben'!$B$146</f>
        <v>Sichelmulchgerät mit beids. Schwenkarm</v>
      </c>
      <c r="CW44" s="46">
        <f>'Variante Vorgaben'!$E$146</f>
        <v>7</v>
      </c>
      <c r="CX44" s="51">
        <f>'Variante Vorgaben'!$C$146</f>
        <v>1</v>
      </c>
      <c r="CY44" s="62">
        <f>'Variante Vorgaben'!$D$146*(1+Eingabeseite!$C$25)</f>
        <v>42.001868282651316</v>
      </c>
      <c r="CZ44" s="120">
        <f>CW44*CY44</f>
        <v>294.01307797855918</v>
      </c>
      <c r="DA44" s="271">
        <f t="shared" ref="DA44:DA50" si="45">CZ44/$CZ$67</f>
        <v>1.0004980875744742E-2</v>
      </c>
      <c r="DB44" s="3"/>
      <c r="DC44" s="4" t="str">
        <f>'Variante Vorgaben'!$B$146</f>
        <v>Sichelmulchgerät mit beids. Schwenkarm</v>
      </c>
      <c r="DD44" s="46">
        <f>'Variante Vorgaben'!$E$146</f>
        <v>7</v>
      </c>
      <c r="DE44" s="51">
        <f>'Variante Vorgaben'!$C$146</f>
        <v>1</v>
      </c>
      <c r="DF44" s="62">
        <f>'Variante Vorgaben'!$D$146*(1+Eingabeseite!$C$25)</f>
        <v>42.001868282651316</v>
      </c>
      <c r="DG44" s="120">
        <f>DD44*DF44</f>
        <v>294.01307797855918</v>
      </c>
      <c r="DH44" s="271">
        <f t="shared" ref="DH44:DH50" si="46">DG44/$DG$67</f>
        <v>1.0004004520000059E-2</v>
      </c>
      <c r="DI44" s="3"/>
      <c r="DJ44" s="4" t="str">
        <f>'Variante Vorgaben'!$B$146</f>
        <v>Sichelmulchgerät mit beids. Schwenkarm</v>
      </c>
      <c r="DK44" s="46">
        <f>'Variante Vorgaben'!$E$146</f>
        <v>7</v>
      </c>
      <c r="DL44" s="51">
        <f>'Variante Vorgaben'!$C$146</f>
        <v>1</v>
      </c>
      <c r="DM44" s="62">
        <f>'Variante Vorgaben'!$D$146*(1+Eingabeseite!$C$25)</f>
        <v>42.001868282651316</v>
      </c>
      <c r="DN44" s="120">
        <f>DK44*DM44</f>
        <v>294.01307797855918</v>
      </c>
      <c r="DO44" s="271">
        <f t="shared" ref="DO44:DO50" si="47">DN44/$DN$67</f>
        <v>1.0003019570174116E-2</v>
      </c>
      <c r="DP44" s="3"/>
      <c r="DQ44" s="4" t="str">
        <f>'Variante Vorgaben'!$B$146</f>
        <v>Sichelmulchgerät mit beids. Schwenkarm</v>
      </c>
      <c r="DR44" s="46">
        <f>'Variante Vorgaben'!$E$146</f>
        <v>7</v>
      </c>
      <c r="DS44" s="51">
        <f>'Variante Vorgaben'!$C$146</f>
        <v>1</v>
      </c>
      <c r="DT44" s="62">
        <f>'Variante Vorgaben'!$D$146*(1+Eingabeseite!$C$25)</f>
        <v>42.001868282651316</v>
      </c>
      <c r="DU44" s="120">
        <f>DR44*DT44</f>
        <v>294.01307797855918</v>
      </c>
      <c r="DV44" s="271">
        <f t="shared" ref="DV44:DV50" si="48">DU44/$DU$67</f>
        <v>1.0002025952353928E-2</v>
      </c>
      <c r="DW44" s="3"/>
      <c r="DX44" s="4" t="str">
        <f>'Variante Vorgaben'!$B$146</f>
        <v>Sichelmulchgerät mit beids. Schwenkarm</v>
      </c>
      <c r="DY44" s="46">
        <f>'Variante Vorgaben'!$E$146</f>
        <v>7</v>
      </c>
      <c r="DZ44" s="51">
        <f>'Variante Vorgaben'!$C$146</f>
        <v>1</v>
      </c>
      <c r="EA44" s="62">
        <f>'Variante Vorgaben'!$D$146*(1+Eingabeseite!$C$25)</f>
        <v>42.001868282651316</v>
      </c>
      <c r="EB44" s="120">
        <f>DY44*EA44</f>
        <v>294.01307797855918</v>
      </c>
      <c r="EC44" s="271">
        <f t="shared" ref="EC44:EC50" si="49">EB44/$EB$67</f>
        <v>1.0001023592021811E-2</v>
      </c>
      <c r="ED44" s="3"/>
      <c r="EE44" s="4" t="str">
        <f>'Variante Vorgaben'!$B$146</f>
        <v>Sichelmulchgerät mit beids. Schwenkarm</v>
      </c>
      <c r="EF44" s="46">
        <f>'Variante Vorgaben'!$E$146</f>
        <v>7</v>
      </c>
      <c r="EG44" s="51">
        <f>'Variante Vorgaben'!$C$146</f>
        <v>1</v>
      </c>
      <c r="EH44" s="62">
        <f>'Variante Vorgaben'!$D$146*(1+Eingabeseite!$C$25)</f>
        <v>42.001868282651316</v>
      </c>
      <c r="EI44" s="120">
        <f>EF44*EH44</f>
        <v>294.01307797855918</v>
      </c>
      <c r="EJ44" s="271">
        <f t="shared" ref="EJ44:EJ50" si="50">EI44/$EI$67</f>
        <v>8.3051559221019328E-3</v>
      </c>
    </row>
    <row r="45" spans="1:256" x14ac:dyDescent="0.2">
      <c r="B45" s="19" t="str">
        <f>'Variante Vorgaben'!$B$147</f>
        <v>Schnittholzhacker</v>
      </c>
      <c r="C45" s="15">
        <v>0</v>
      </c>
      <c r="D45" s="563">
        <f>'Variante Vorgaben'!$C$147</f>
        <v>2</v>
      </c>
      <c r="E45" s="62">
        <f>'Variante Vorgaben'!$D$147*(1+Eingabeseite!$C$25)</f>
        <v>68.303038183454404</v>
      </c>
      <c r="F45" s="118">
        <f>E45*D45*C45</f>
        <v>0</v>
      </c>
      <c r="G45" s="271">
        <f t="shared" si="21"/>
        <v>0</v>
      </c>
      <c r="H45" s="16"/>
      <c r="I45" s="19" t="str">
        <f>'Variante Vorgaben'!$B$147</f>
        <v>Schnittholzhacker</v>
      </c>
      <c r="J45" s="15">
        <v>0</v>
      </c>
      <c r="K45" s="563">
        <f>'Variante Vorgaben'!$C$147</f>
        <v>2</v>
      </c>
      <c r="L45" s="62">
        <f>'Variante Vorgaben'!$D$147*(1+Eingabeseite!$C$25)</f>
        <v>68.303038183454404</v>
      </c>
      <c r="M45" s="118">
        <f>L45*K45*J45</f>
        <v>0</v>
      </c>
      <c r="N45" s="42">
        <f>M45/$M$67</f>
        <v>0</v>
      </c>
      <c r="O45" s="16"/>
      <c r="P45" s="19" t="str">
        <f>'Variante Vorgaben'!$B$147</f>
        <v>Schnittholzhacker</v>
      </c>
      <c r="Q45" s="15">
        <v>0</v>
      </c>
      <c r="R45" s="563">
        <f>'Variante Vorgaben'!$C$147</f>
        <v>2</v>
      </c>
      <c r="S45" s="62">
        <f>'Variante Vorgaben'!$D$147*(1+Eingabeseite!$C$25)</f>
        <v>68.303038183454404</v>
      </c>
      <c r="T45" s="118">
        <f>S45*R45*Q45</f>
        <v>0</v>
      </c>
      <c r="U45" s="42">
        <f t="shared" ref="U45:U50" si="51">T45/$T$67</f>
        <v>0</v>
      </c>
      <c r="V45" s="16"/>
      <c r="W45" s="19" t="str">
        <f>'Variante Vorgaben'!$B$147</f>
        <v>Schnittholzhacker</v>
      </c>
      <c r="X45" s="58">
        <f>'Variante Vorgaben'!$E$147</f>
        <v>1</v>
      </c>
      <c r="Y45" s="563">
        <f>'Variante Vorgaben'!$C$147</f>
        <v>2</v>
      </c>
      <c r="Z45" s="62">
        <f>'Variante Vorgaben'!$D$147*(1+Eingabeseite!$C$25)</f>
        <v>68.303038183454404</v>
      </c>
      <c r="AA45" s="118">
        <f>Z45*Y45*X45</f>
        <v>136.60607636690881</v>
      </c>
      <c r="AB45" s="42">
        <f t="shared" ref="AB45:AB50" si="52">AA45/$AA$67</f>
        <v>6.7143625179691855E-3</v>
      </c>
      <c r="AC45" s="16"/>
      <c r="AD45" s="19" t="str">
        <f>'Variante Vorgaben'!$B$147</f>
        <v>Schnittholzhacker</v>
      </c>
      <c r="AE45" s="58">
        <f>'Variante Vorgaben'!$E$147</f>
        <v>1</v>
      </c>
      <c r="AF45" s="563">
        <f>'Variante Vorgaben'!$C$147</f>
        <v>2</v>
      </c>
      <c r="AG45" s="62">
        <f>'Variante Vorgaben'!$D$147*(1+Eingabeseite!$C$25)</f>
        <v>68.303038183454404</v>
      </c>
      <c r="AH45" s="118">
        <f>AG45*AF45*AE45</f>
        <v>136.60607636690881</v>
      </c>
      <c r="AI45" s="42">
        <f t="shared" ref="AI45:AI50" si="53">AH45/$AH$67</f>
        <v>5.138907624525681E-3</v>
      </c>
      <c r="AJ45" s="16"/>
      <c r="AK45" s="4" t="str">
        <f>'Variante Vorgaben'!$B$147</f>
        <v>Schnittholzhacker</v>
      </c>
      <c r="AL45" s="58">
        <f>'Variante Vorgaben'!$E$147</f>
        <v>1</v>
      </c>
      <c r="AM45" s="563">
        <f>'Variante Vorgaben'!$C$147</f>
        <v>2</v>
      </c>
      <c r="AN45" s="62">
        <f>'Variante Vorgaben'!$D$147*(1+Eingabeseite!$C$25)</f>
        <v>68.303038183454404</v>
      </c>
      <c r="AO45" s="118">
        <f>AN45*AM45*AL45</f>
        <v>136.60607636690881</v>
      </c>
      <c r="AP45" s="271">
        <f>AO45/$AO$67</f>
        <v>4.652481351571606E-3</v>
      </c>
      <c r="AQ45" s="3"/>
      <c r="AR45" s="4" t="str">
        <f>'Variante Vorgaben'!$B$147</f>
        <v>Schnittholzhacker</v>
      </c>
      <c r="AS45" s="58">
        <f>'Variante Vorgaben'!$E$147</f>
        <v>1</v>
      </c>
      <c r="AT45" s="563">
        <f>'Variante Vorgaben'!$C$147</f>
        <v>2</v>
      </c>
      <c r="AU45" s="62">
        <f>'Variante Vorgaben'!$D$147*(1+Eingabeseite!$C$25)</f>
        <v>68.303038183454404</v>
      </c>
      <c r="AV45" s="118">
        <f>AU45*AT45*AS45</f>
        <v>136.60607636690881</v>
      </c>
      <c r="AW45" s="271">
        <f t="shared" ref="AW45:AW50" si="54">AV45/$AV$67</f>
        <v>4.652062148720465E-3</v>
      </c>
      <c r="AX45" s="3"/>
      <c r="AY45" s="4" t="str">
        <f>'Variante Vorgaben'!$B$147</f>
        <v>Schnittholzhacker</v>
      </c>
      <c r="AZ45" s="58">
        <f>'Variante Vorgaben'!$E$147</f>
        <v>1</v>
      </c>
      <c r="BA45" s="563">
        <f>'Variante Vorgaben'!$C$147</f>
        <v>2</v>
      </c>
      <c r="BB45" s="62">
        <f>'Variante Vorgaben'!$D$147*(1+Eingabeseite!$C$25)</f>
        <v>68.303038183454404</v>
      </c>
      <c r="BC45" s="118">
        <f>BB45*BA45*AZ45</f>
        <v>136.60607636690881</v>
      </c>
      <c r="BD45" s="271">
        <f>BC45/$BC$67</f>
        <v>4.65163924960252E-3</v>
      </c>
      <c r="BE45" s="3"/>
      <c r="BF45" s="4" t="str">
        <f>'Variante Vorgaben'!$B$147</f>
        <v>Schnittholzhacker</v>
      </c>
      <c r="BG45" s="58">
        <f>'Variante Vorgaben'!$E$147</f>
        <v>1</v>
      </c>
      <c r="BH45" s="563">
        <f>'Variante Vorgaben'!$C$147</f>
        <v>2</v>
      </c>
      <c r="BI45" s="62">
        <f>'Variante Vorgaben'!$D$147*(1+Eingabeseite!$C$25)</f>
        <v>68.303038183454404</v>
      </c>
      <c r="BJ45" s="118">
        <f>BI45*BH45*BG45</f>
        <v>136.60607636690881</v>
      </c>
      <c r="BK45" s="271">
        <f t="shared" si="42"/>
        <v>4.6512126223143754E-3</v>
      </c>
      <c r="BL45" s="3"/>
      <c r="BM45" s="4" t="str">
        <f>'Variante Vorgaben'!$B$147</f>
        <v>Schnittholzhacker</v>
      </c>
      <c r="BN45" s="58">
        <f>'Variante Vorgaben'!$E$147</f>
        <v>1</v>
      </c>
      <c r="BO45" s="563">
        <f>'Variante Vorgaben'!$C$147</f>
        <v>2</v>
      </c>
      <c r="BP45" s="62">
        <f>'Variante Vorgaben'!$D$147*(1+Eingabeseite!$C$25)</f>
        <v>68.303038183454404</v>
      </c>
      <c r="BQ45" s="118">
        <f>BP45*BO45*BN45</f>
        <v>136.60607636690881</v>
      </c>
      <c r="BR45" s="271">
        <f t="shared" ref="BR45:BR50" si="55">BQ45/$BQ$67</f>
        <v>4.6507822346895777E-3</v>
      </c>
      <c r="BS45" s="3"/>
      <c r="BT45" s="4" t="str">
        <f>'Variante Vorgaben'!$B$147</f>
        <v>Schnittholzhacker</v>
      </c>
      <c r="BU45" s="58">
        <f>'Variante Vorgaben'!$E$147</f>
        <v>1</v>
      </c>
      <c r="BV45" s="563">
        <f>'Variante Vorgaben'!$C$147</f>
        <v>2</v>
      </c>
      <c r="BW45" s="62">
        <f>'Variante Vorgaben'!$D$147*(1+Eingabeseite!$C$25)</f>
        <v>68.303038183454404</v>
      </c>
      <c r="BX45" s="118">
        <f>BW45*BV45*BU45</f>
        <v>136.60607636690881</v>
      </c>
      <c r="BY45" s="271">
        <f t="shared" ref="BY45:BY50" si="56">BX45/$BX$67</f>
        <v>4.6503480542966699E-3</v>
      </c>
      <c r="BZ45" s="3"/>
      <c r="CA45" s="4" t="str">
        <f>'Variante Vorgaben'!$B$147</f>
        <v>Schnittholzhacker</v>
      </c>
      <c r="CB45" s="58">
        <f>'Variante Vorgaben'!$E$147</f>
        <v>1</v>
      </c>
      <c r="CC45" s="563">
        <f>'Variante Vorgaben'!$C$147</f>
        <v>2</v>
      </c>
      <c r="CD45" s="62">
        <f>'Variante Vorgaben'!$D$147*(1+Eingabeseite!$C$25)</f>
        <v>68.303038183454404</v>
      </c>
      <c r="CE45" s="118">
        <f>CD45*CC45*CB45</f>
        <v>136.60607636690881</v>
      </c>
      <c r="CF45" s="271">
        <f t="shared" ref="CF45:CF50" si="57">CE45/$CE$67</f>
        <v>4.6499100484372327E-3</v>
      </c>
      <c r="CG45" s="3"/>
      <c r="CH45" s="4" t="str">
        <f>'Variante Vorgaben'!$B$147</f>
        <v>Schnittholzhacker</v>
      </c>
      <c r="CI45" s="58">
        <f>'Variante Vorgaben'!$E$147</f>
        <v>1</v>
      </c>
      <c r="CJ45" s="563">
        <f>'Variante Vorgaben'!$C$147</f>
        <v>2</v>
      </c>
      <c r="CK45" s="62">
        <f>'Variante Vorgaben'!$D$147*(1+Eingabeseite!$C$25)</f>
        <v>68.303038183454404</v>
      </c>
      <c r="CL45" s="118">
        <f>CK45*CJ45*CI45</f>
        <v>136.60607636690881</v>
      </c>
      <c r="CM45" s="271">
        <f t="shared" si="43"/>
        <v>4.6494681841439149E-3</v>
      </c>
      <c r="CN45" s="3"/>
      <c r="CO45" s="4" t="str">
        <f>'Variante Vorgaben'!$B$147</f>
        <v>Schnittholzhacker</v>
      </c>
      <c r="CP45" s="58">
        <f>'Variante Vorgaben'!$E$147</f>
        <v>1</v>
      </c>
      <c r="CQ45" s="563">
        <f>'Variante Vorgaben'!$C$147</f>
        <v>2</v>
      </c>
      <c r="CR45" s="62">
        <f>'Variante Vorgaben'!$D$147*(1+Eingabeseite!$C$25)</f>
        <v>68.303038183454404</v>
      </c>
      <c r="CS45" s="118">
        <f>CR45*CQ45*CP45</f>
        <v>136.60607636690881</v>
      </c>
      <c r="CT45" s="271">
        <f t="shared" si="44"/>
        <v>4.6490224281784572E-3</v>
      </c>
      <c r="CU45" s="3"/>
      <c r="CV45" s="4" t="str">
        <f>'Variante Vorgaben'!$B$147</f>
        <v>Schnittholzhacker</v>
      </c>
      <c r="CW45" s="58">
        <f>'Variante Vorgaben'!$E$147</f>
        <v>1</v>
      </c>
      <c r="CX45" s="563">
        <f>'Variante Vorgaben'!$C$147</f>
        <v>2</v>
      </c>
      <c r="CY45" s="62">
        <f>'Variante Vorgaben'!$D$147*(1+Eingabeseite!$C$25)</f>
        <v>68.303038183454404</v>
      </c>
      <c r="CZ45" s="118">
        <f>CY45*CX45*CW45</f>
        <v>136.60607636690881</v>
      </c>
      <c r="DA45" s="271">
        <f t="shared" si="45"/>
        <v>4.6485727470297012E-3</v>
      </c>
      <c r="DB45" s="3"/>
      <c r="DC45" s="4" t="str">
        <f>'Variante Vorgaben'!$B$147</f>
        <v>Schnittholzhacker</v>
      </c>
      <c r="DD45" s="58">
        <f>'Variante Vorgaben'!$E$147</f>
        <v>1</v>
      </c>
      <c r="DE45" s="563">
        <f>'Variante Vorgaben'!$C$147</f>
        <v>2</v>
      </c>
      <c r="DF45" s="62">
        <f>'Variante Vorgaben'!$D$147*(1+Eingabeseite!$C$25)</f>
        <v>68.303038183454404</v>
      </c>
      <c r="DG45" s="118">
        <f>DF45*DE45*DD45</f>
        <v>136.60607636690881</v>
      </c>
      <c r="DH45" s="271">
        <f t="shared" si="46"/>
        <v>4.6481191069115925E-3</v>
      </c>
      <c r="DI45" s="3"/>
      <c r="DJ45" s="4" t="str">
        <f>'Variante Vorgaben'!$B$147</f>
        <v>Schnittholzhacker</v>
      </c>
      <c r="DK45" s="58">
        <f>'Variante Vorgaben'!$E$147</f>
        <v>1</v>
      </c>
      <c r="DL45" s="563">
        <f>'Variante Vorgaben'!$C$147</f>
        <v>2</v>
      </c>
      <c r="DM45" s="62">
        <f>'Variante Vorgaben'!$D$147*(1+Eingabeseite!$C$25)</f>
        <v>68.303038183454404</v>
      </c>
      <c r="DN45" s="118">
        <f>DM45*DL45*DK45</f>
        <v>136.60607636690881</v>
      </c>
      <c r="DO45" s="271">
        <f t="shared" si="47"/>
        <v>4.6476614737611718E-3</v>
      </c>
      <c r="DP45" s="3"/>
      <c r="DQ45" s="4" t="str">
        <f>'Variante Vorgaben'!$B$147</f>
        <v>Schnittholzhacker</v>
      </c>
      <c r="DR45" s="58">
        <f>'Variante Vorgaben'!$E$147</f>
        <v>1</v>
      </c>
      <c r="DS45" s="563">
        <f>'Variante Vorgaben'!$C$147</f>
        <v>2</v>
      </c>
      <c r="DT45" s="62">
        <f>'Variante Vorgaben'!$D$147*(1+Eingabeseite!$C$25)</f>
        <v>68.303038183454404</v>
      </c>
      <c r="DU45" s="118">
        <f>DT45*DS45*DR45</f>
        <v>136.60607636690881</v>
      </c>
      <c r="DV45" s="271">
        <f t="shared" si="48"/>
        <v>4.647199813236553E-3</v>
      </c>
      <c r="DW45" s="3"/>
      <c r="DX45" s="4" t="str">
        <f>'Variante Vorgaben'!$B$147</f>
        <v>Schnittholzhacker</v>
      </c>
      <c r="DY45" s="58">
        <f>'Variante Vorgaben'!$E$147</f>
        <v>1</v>
      </c>
      <c r="DZ45" s="563">
        <f>'Variante Vorgaben'!$C$147</f>
        <v>2</v>
      </c>
      <c r="EA45" s="62">
        <f>'Variante Vorgaben'!$D$147*(1+Eingabeseite!$C$25)</f>
        <v>68.303038183454404</v>
      </c>
      <c r="EB45" s="118">
        <f>EA45*DZ45*DY45</f>
        <v>136.60607636690881</v>
      </c>
      <c r="EC45" s="271">
        <f t="shared" si="49"/>
        <v>4.646734090714897E-3</v>
      </c>
      <c r="ED45" s="3"/>
      <c r="EE45" s="4" t="str">
        <f>'Variante Vorgaben'!$B$147</f>
        <v>Schnittholzhacker</v>
      </c>
      <c r="EF45" s="58">
        <f>'Variante Vorgaben'!$E$147</f>
        <v>1</v>
      </c>
      <c r="EG45" s="563">
        <f>'Variante Vorgaben'!$C$147</f>
        <v>2</v>
      </c>
      <c r="EH45" s="62">
        <f>'Variante Vorgaben'!$D$147*(1+Eingabeseite!$C$25)</f>
        <v>68.303038183454404</v>
      </c>
      <c r="EI45" s="118">
        <f>EH45*EG45*EF45</f>
        <v>136.60607636690881</v>
      </c>
      <c r="EJ45" s="271">
        <f t="shared" si="50"/>
        <v>3.8587901325140284E-3</v>
      </c>
    </row>
    <row r="46" spans="1:256" s="1" customFormat="1" ht="16.5" customHeight="1" x14ac:dyDescent="0.2">
      <c r="A46" s="3"/>
      <c r="B46" s="4" t="s">
        <v>113</v>
      </c>
      <c r="C46" s="46"/>
      <c r="D46" s="625">
        <f>(C39*D39)+(C40*D40)+(C41*D41)+(D43*E43*'Variante Vorgaben'!$H$138)+(C44*D44)+(C45*D45)</f>
        <v>12</v>
      </c>
      <c r="E46" s="62"/>
      <c r="F46" s="120">
        <f>SUM(F39:F45)</f>
        <v>489.02175214801173</v>
      </c>
      <c r="G46" s="271">
        <f t="shared" si="21"/>
        <v>4.8161108602526363E-2</v>
      </c>
      <c r="H46" s="3"/>
      <c r="I46" s="4" t="s">
        <v>113</v>
      </c>
      <c r="J46" s="46"/>
      <c r="K46" s="625">
        <f>(J39*K39)+(J40*K40)+(J41*K41)+(K43*L43*'Variante Vorgaben'!$H$138)+(J44*K44)+(J45*K45)</f>
        <v>18.275056715723345</v>
      </c>
      <c r="L46" s="62"/>
      <c r="M46" s="120">
        <f>SUM(M39:M45)</f>
        <v>679.46772336414051</v>
      </c>
      <c r="N46" s="271">
        <f>M46/$M$67</f>
        <v>5.4599354670754593E-2</v>
      </c>
      <c r="O46" s="3"/>
      <c r="P46" s="4" t="s">
        <v>113</v>
      </c>
      <c r="Q46" s="46"/>
      <c r="R46" s="625">
        <f>(Q39*R39)+(Q40*R40)+(Q41*R41)+(R43*S43*'Variante Vorgaben'!$H$138)+(Q44*R44)+(Q45*R45)</f>
        <v>25.125094526205572</v>
      </c>
      <c r="S46" s="62"/>
      <c r="T46" s="120">
        <f>SUM(T39:T45)</f>
        <v>898.76914476453135</v>
      </c>
      <c r="U46" s="271">
        <f t="shared" si="51"/>
        <v>4.8989187581491046E-2</v>
      </c>
      <c r="V46" s="3"/>
      <c r="W46" s="4" t="s">
        <v>113</v>
      </c>
      <c r="X46" s="46"/>
      <c r="Y46" s="625">
        <f>(X39*Y39)+(X40*Y40)+(X41*Y41)+(Y43*Z43*'Variante Vorgaben'!$H$138)+(X44*Y44)+(X45*Y45)</f>
        <v>30.250189052411145</v>
      </c>
      <c r="Z46" s="62"/>
      <c r="AA46" s="120">
        <f>SUM(AA39:AA45)</f>
        <v>1094.1070002429451</v>
      </c>
      <c r="AB46" s="271">
        <f t="shared" si="52"/>
        <v>5.3776751579832874E-2</v>
      </c>
      <c r="AC46" s="3"/>
      <c r="AD46" s="4" t="s">
        <v>113</v>
      </c>
      <c r="AE46" s="46"/>
      <c r="AF46" s="625">
        <f>(AE39*AF39)+(AE40*AF40)+(AE41*AF41)+(AF43*AG43*'Variante Vorgaben'!$H$138)+(AE44*AF44)+(AE45*AF45)</f>
        <v>48.500378104822289</v>
      </c>
      <c r="AG46" s="62"/>
      <c r="AH46" s="120">
        <f>SUM(AH39:AH45)</f>
        <v>1698.5922216481263</v>
      </c>
      <c r="AI46" s="271">
        <f t="shared" si="53"/>
        <v>6.3898391279043024E-2</v>
      </c>
      <c r="AJ46" s="3"/>
      <c r="AK46" s="4" t="s">
        <v>113</v>
      </c>
      <c r="AL46" s="46"/>
      <c r="AM46" s="625">
        <f>(AL39*AM39)+(AL40*AM40)+(AL41*AM41)+(AM43*AN43*'Variante Vorgaben'!$H$138)+(AL44*AM44)+(AL45*AM45)</f>
        <v>54.600604967715668</v>
      </c>
      <c r="AN46" s="62"/>
      <c r="AO46" s="120">
        <f>SUM(AO39:AO45)</f>
        <v>1814.3473705461474</v>
      </c>
      <c r="AP46" s="271">
        <f>AO46/$AO$67</f>
        <v>6.1792399952010586E-2</v>
      </c>
      <c r="AQ46" s="3"/>
      <c r="AR46" s="4" t="s">
        <v>113</v>
      </c>
      <c r="AS46" s="46"/>
      <c r="AT46" s="625">
        <f>(AS39*AT39)+(AS40*AT40)+(AS41*AT41)+(AT43*AU43*'Variante Vorgaben'!$H$138)+(AS44*AT44)+(AS45*AT45)</f>
        <v>54.600604967715668</v>
      </c>
      <c r="AU46" s="62"/>
      <c r="AV46" s="120">
        <f>SUM(AV39:AV45)</f>
        <v>1814.3473705461474</v>
      </c>
      <c r="AW46" s="271">
        <f t="shared" si="54"/>
        <v>6.1786832267095519E-2</v>
      </c>
      <c r="AX46" s="3"/>
      <c r="AY46" s="4" t="s">
        <v>113</v>
      </c>
      <c r="AZ46" s="46"/>
      <c r="BA46" s="625">
        <f>(AZ39*BA39)+(AZ40*BA40)+(AZ41*BA41)+(BA43*BB43*'Variante Vorgaben'!$H$138)+(AZ44*BA44)+(AZ45*BA45)</f>
        <v>54.600604967715668</v>
      </c>
      <c r="BB46" s="62"/>
      <c r="BC46" s="120">
        <f>SUM(BC39:BC45)</f>
        <v>1814.3473705461474</v>
      </c>
      <c r="BD46" s="271">
        <f>BC46/$BC$67</f>
        <v>6.1781215489840398E-2</v>
      </c>
      <c r="BE46" s="3"/>
      <c r="BF46" s="4" t="s">
        <v>113</v>
      </c>
      <c r="BG46" s="46"/>
      <c r="BH46" s="625">
        <f>(BG39*BH39)+(BG40*BH40)+(BG41*BH41)+(BH43*BI43*'Variante Vorgaben'!$H$138)+(BG44*BH44)+(BG45*BH45)</f>
        <v>54.600604967715668</v>
      </c>
      <c r="BI46" s="62"/>
      <c r="BJ46" s="120">
        <f>SUM(BJ39:BJ45)</f>
        <v>1814.3473705461474</v>
      </c>
      <c r="BK46" s="271">
        <f t="shared" si="42"/>
        <v>6.1775549196517031E-2</v>
      </c>
      <c r="BL46" s="3"/>
      <c r="BM46" s="4" t="s">
        <v>113</v>
      </c>
      <c r="BN46" s="46"/>
      <c r="BO46" s="625">
        <f>(BN39*BO39)+(BN40*BO40)+(BN41*BO41)+(BO43*BP43*'Variante Vorgaben'!$H$138)+(BN44*BO44)+(BN45*BO45)</f>
        <v>54.600604967715668</v>
      </c>
      <c r="BP46" s="62"/>
      <c r="BQ46" s="120">
        <f>SUM(BQ39:BQ45)</f>
        <v>1814.3473705461474</v>
      </c>
      <c r="BR46" s="271">
        <f t="shared" si="55"/>
        <v>6.1769832959903445E-2</v>
      </c>
      <c r="BS46" s="3"/>
      <c r="BT46" s="4" t="s">
        <v>113</v>
      </c>
      <c r="BU46" s="46"/>
      <c r="BV46" s="625">
        <f>(BU39*BV39)+(BU40*BV40)+(BU41*BV41)+(BV43*BW43*'Variante Vorgaben'!$H$138)+(BU44*BV44)+(BU45*BV45)</f>
        <v>54.600604967715668</v>
      </c>
      <c r="BW46" s="62"/>
      <c r="BX46" s="120">
        <f>SUM(BX39:BX45)</f>
        <v>1814.3473705461474</v>
      </c>
      <c r="BY46" s="271">
        <f t="shared" si="56"/>
        <v>6.1764066349257962E-2</v>
      </c>
      <c r="BZ46" s="3"/>
      <c r="CA46" s="4" t="s">
        <v>113</v>
      </c>
      <c r="CB46" s="46"/>
      <c r="CC46" s="625">
        <f>(CB39*CC39)+(CB40*CC40)+(CB41*CC41)+(CC43*CD43*'Variante Vorgaben'!$H$138)+(CB44*CC44)+(CB45*CC45)</f>
        <v>54.600604967715668</v>
      </c>
      <c r="CD46" s="62"/>
      <c r="CE46" s="120">
        <f>SUM(CE39:CE45)</f>
        <v>1814.3473705461474</v>
      </c>
      <c r="CF46" s="271">
        <f t="shared" si="57"/>
        <v>6.1758248930293233E-2</v>
      </c>
      <c r="CG46" s="3"/>
      <c r="CH46" s="4" t="s">
        <v>113</v>
      </c>
      <c r="CI46" s="46"/>
      <c r="CJ46" s="625">
        <f>(CI39*CJ39)+(CI40*CJ40)+(CI41*CJ41)+(CJ43*CK43*'Variante Vorgaben'!$H$138)+(CI44*CJ44)+(CI45*CJ45)</f>
        <v>54.600604967715668</v>
      </c>
      <c r="CK46" s="62"/>
      <c r="CL46" s="120">
        <f>SUM(CL39:CL45)</f>
        <v>1814.3473705461474</v>
      </c>
      <c r="CM46" s="271">
        <f t="shared" si="43"/>
        <v>6.1752380265150064E-2</v>
      </c>
      <c r="CN46" s="3"/>
      <c r="CO46" s="4" t="s">
        <v>113</v>
      </c>
      <c r="CP46" s="46"/>
      <c r="CQ46" s="625">
        <f>(CP39*CQ39)+(CP40*CQ40)+(CP41*CQ41)+(CQ43*CR43*'Variante Vorgaben'!$H$138)+(CP44*CQ44)+(CP45*CQ45)</f>
        <v>54.600604967715668</v>
      </c>
      <c r="CR46" s="62"/>
      <c r="CS46" s="120">
        <f>SUM(CS39:CS45)</f>
        <v>1814.3473705461474</v>
      </c>
      <c r="CT46" s="271">
        <f t="shared" si="44"/>
        <v>6.1746459912371161E-2</v>
      </c>
      <c r="CU46" s="3"/>
      <c r="CV46" s="4" t="s">
        <v>113</v>
      </c>
      <c r="CW46" s="46"/>
      <c r="CX46" s="625">
        <f>(CW39*CX39)+(CW40*CX40)+(CW41*CX41)+(CX43*CY43*'Variante Vorgaben'!$H$138)+(CW44*CX44)+(CW45*CX45)</f>
        <v>54.600604967715668</v>
      </c>
      <c r="CY46" s="62"/>
      <c r="CZ46" s="120">
        <f>SUM(CZ39:CZ45)</f>
        <v>1814.3473705461474</v>
      </c>
      <c r="DA46" s="271">
        <f t="shared" si="45"/>
        <v>6.1740487426874706E-2</v>
      </c>
      <c r="DB46" s="3"/>
      <c r="DC46" s="4" t="s">
        <v>113</v>
      </c>
      <c r="DD46" s="46"/>
      <c r="DE46" s="625">
        <f>(DD39*DE39)+(DD40*DE40)+(DD41*DE41)+(DE43*DF43*'Variante Vorgaben'!$H$138)+(DD44*DE44)+(DD45*DE45)</f>
        <v>54.600604967715668</v>
      </c>
      <c r="DF46" s="62"/>
      <c r="DG46" s="120">
        <f>SUM(DG39:DG45)</f>
        <v>1814.3473705461474</v>
      </c>
      <c r="DH46" s="271">
        <f t="shared" si="46"/>
        <v>6.1734462359927807E-2</v>
      </c>
      <c r="DI46" s="3"/>
      <c r="DJ46" s="4" t="s">
        <v>113</v>
      </c>
      <c r="DK46" s="46"/>
      <c r="DL46" s="625">
        <f>(DK39*DL39)+(DK40*DL40)+(DK41*DL41)+(DL43*DM43*'Variante Vorgaben'!$H$138)+(DK44*DL44)+(DK45*DL45)</f>
        <v>54.600604967715668</v>
      </c>
      <c r="DM46" s="62"/>
      <c r="DN46" s="120">
        <f>SUM(DN39:DN45)</f>
        <v>1814.3473705461474</v>
      </c>
      <c r="DO46" s="271">
        <f t="shared" si="47"/>
        <v>6.1728384259119827E-2</v>
      </c>
      <c r="DP46" s="3"/>
      <c r="DQ46" s="4" t="s">
        <v>113</v>
      </c>
      <c r="DR46" s="46"/>
      <c r="DS46" s="625">
        <f>(DR39*DS39)+(DR40*DS40)+(DR41*DS41)+(DS43*DT43*'Variante Vorgaben'!$H$138)+(DR44*DS44)+(DR45*DS45)</f>
        <v>54.600604967715668</v>
      </c>
      <c r="DT46" s="62"/>
      <c r="DU46" s="120">
        <f>SUM(DU39:DU45)</f>
        <v>1814.3473705461474</v>
      </c>
      <c r="DV46" s="271">
        <f t="shared" si="48"/>
        <v>6.1722252668335552E-2</v>
      </c>
      <c r="DW46" s="3"/>
      <c r="DX46" s="4" t="s">
        <v>113</v>
      </c>
      <c r="DY46" s="46"/>
      <c r="DZ46" s="625">
        <f>(DY39*DZ39)+(DY40*DZ40)+(DY41*DZ41)+(DZ43*EA43*'Variante Vorgaben'!$H$138)+(DY44*DZ44)+(DY45*DZ45)</f>
        <v>54.600604967715668</v>
      </c>
      <c r="EA46" s="62"/>
      <c r="EB46" s="120">
        <f>SUM(EB39:EB45)</f>
        <v>1814.3473705461474</v>
      </c>
      <c r="EC46" s="271">
        <f t="shared" si="49"/>
        <v>6.1716067127728258E-2</v>
      </c>
      <c r="ED46" s="3"/>
      <c r="EE46" s="4" t="s">
        <v>113</v>
      </c>
      <c r="EF46" s="46"/>
      <c r="EG46" s="625">
        <f>(EF39*EG39)+(EF40*EG40)+(EF41*EG41)+(EG43*EH43*'Variante Vorgaben'!$H$138)+(EF44*EG44)+(EF45*EG45)</f>
        <v>54.600604967715668</v>
      </c>
      <c r="EH46" s="62"/>
      <c r="EI46" s="120">
        <f>SUM(EI39:EI45)</f>
        <v>1814.3473705461474</v>
      </c>
      <c r="EJ46" s="271">
        <f t="shared" si="50"/>
        <v>5.1250910037206811E-2</v>
      </c>
    </row>
    <row r="47" spans="1:256" s="1" customFormat="1" x14ac:dyDescent="0.2">
      <c r="A47" s="626"/>
      <c r="B47" s="106" t="str">
        <f>'Variante Vorgaben'!$B$138</f>
        <v>Obstbautraktor 4-Rad</v>
      </c>
      <c r="C47" s="46"/>
      <c r="D47" s="627">
        <f>D46</f>
        <v>12</v>
      </c>
      <c r="E47" s="62">
        <f>'Variante Vorgaben'!$D$153*(1+Eingabeseite!$C$25)</f>
        <v>41.001823799731049</v>
      </c>
      <c r="F47" s="120">
        <f>D47*E47</f>
        <v>492.02188559677256</v>
      </c>
      <c r="G47" s="271">
        <f t="shared" si="21"/>
        <v>4.8456575526468246E-2</v>
      </c>
      <c r="H47" s="626"/>
      <c r="I47" s="106" t="str">
        <f>'Variante Vorgaben'!$B$138</f>
        <v>Obstbautraktor 4-Rad</v>
      </c>
      <c r="J47" s="46"/>
      <c r="K47" s="627">
        <f>K46</f>
        <v>18.275056715723345</v>
      </c>
      <c r="L47" s="62">
        <f>'Variante Vorgaben'!$D$153*(1+Eingabeseite!$C$25)</f>
        <v>41.001823799731049</v>
      </c>
      <c r="M47" s="120">
        <f>K47*L47</f>
        <v>749.31065538818018</v>
      </c>
      <c r="N47" s="271">
        <f>M47/$M$67</f>
        <v>6.0211658074874171E-2</v>
      </c>
      <c r="O47" s="626"/>
      <c r="P47" s="106" t="str">
        <f>'Variante Vorgaben'!$B$138</f>
        <v>Obstbautraktor 4-Rad</v>
      </c>
      <c r="Q47" s="46"/>
      <c r="R47" s="627">
        <f>R46</f>
        <v>25.125094526205572</v>
      </c>
      <c r="S47" s="62">
        <f>'Variante Vorgaben'!$D$153*(1+Eingabeseite!$C$25)</f>
        <v>41.001823799731049</v>
      </c>
      <c r="T47" s="120">
        <f>R47*S47</f>
        <v>1030.174698715068</v>
      </c>
      <c r="U47" s="271">
        <f t="shared" si="51"/>
        <v>5.6151706866038952E-2</v>
      </c>
      <c r="V47" s="626"/>
      <c r="W47" s="106" t="str">
        <f>'Variante Vorgaben'!$B$138</f>
        <v>Obstbautraktor 4-Rad</v>
      </c>
      <c r="X47" s="46"/>
      <c r="Y47" s="627">
        <f>Y46</f>
        <v>30.250189052411145</v>
      </c>
      <c r="Z47" s="62">
        <f>'Variante Vorgaben'!$D$153*(1+Eingabeseite!$C$25)</f>
        <v>41.001823799731049</v>
      </c>
      <c r="AA47" s="120">
        <f>Y47*Z47</f>
        <v>1240.3129214355149</v>
      </c>
      <c r="AB47" s="271">
        <f t="shared" si="52"/>
        <v>6.0962958689126205E-2</v>
      </c>
      <c r="AC47" s="626"/>
      <c r="AD47" s="106" t="str">
        <f>'Variante Vorgaben'!$B$138</f>
        <v>Obstbautraktor 4-Rad</v>
      </c>
      <c r="AE47" s="46"/>
      <c r="AF47" s="627">
        <f>AF46</f>
        <v>48.500378104822289</v>
      </c>
      <c r="AG47" s="62">
        <f>'Variante Vorgaben'!$D$153*(1+Eingabeseite!$C$25)</f>
        <v>41.001823799731049</v>
      </c>
      <c r="AH47" s="120">
        <f>AF47*AG47</f>
        <v>1988.6039572742573</v>
      </c>
      <c r="AI47" s="271">
        <f t="shared" si="53"/>
        <v>7.4808180646011982E-2</v>
      </c>
      <c r="AJ47" s="626"/>
      <c r="AK47" s="106" t="str">
        <f>'Variante Vorgaben'!$B$138</f>
        <v>Obstbautraktor 4-Rad</v>
      </c>
      <c r="AL47" s="46"/>
      <c r="AM47" s="627">
        <f>AM46</f>
        <v>54.600604967715668</v>
      </c>
      <c r="AN47" s="62">
        <f>'Variante Vorgaben'!$D$153*(1+Eingabeseite!$C$25)</f>
        <v>41.001823799731049</v>
      </c>
      <c r="AO47" s="120">
        <f>AM47*AN47</f>
        <v>2238.7243842449975</v>
      </c>
      <c r="AP47" s="271">
        <f>AO47/$AO$67</f>
        <v>7.6245681934625414E-2</v>
      </c>
      <c r="AQ47" s="626"/>
      <c r="AR47" s="106" t="str">
        <f>'Variante Vorgaben'!$B$138</f>
        <v>Obstbautraktor 4-Rad</v>
      </c>
      <c r="AS47" s="46"/>
      <c r="AT47" s="627">
        <f>AT46</f>
        <v>54.600604967715668</v>
      </c>
      <c r="AU47" s="62">
        <f>'Variante Vorgaben'!$D$153*(1+Eingabeseite!$C$25)</f>
        <v>41.001823799731049</v>
      </c>
      <c r="AV47" s="120">
        <f>AT47*AU47</f>
        <v>2238.7243842449975</v>
      </c>
      <c r="AW47" s="271">
        <f t="shared" si="54"/>
        <v>7.6238811964637582E-2</v>
      </c>
      <c r="AX47" s="626"/>
      <c r="AY47" s="106" t="str">
        <f>'Variante Vorgaben'!$B$138</f>
        <v>Obstbautraktor 4-Rad</v>
      </c>
      <c r="AZ47" s="46"/>
      <c r="BA47" s="627">
        <f>BA46</f>
        <v>54.600604967715668</v>
      </c>
      <c r="BB47" s="62">
        <f>'Variante Vorgaben'!$D$153*(1+Eingabeseite!$C$25)</f>
        <v>41.001823799731049</v>
      </c>
      <c r="BC47" s="120">
        <f>BA47*BB47</f>
        <v>2238.7243842449975</v>
      </c>
      <c r="BD47" s="271">
        <f>BC47/$BC$67</f>
        <v>7.6231881419579858E-2</v>
      </c>
      <c r="BE47" s="626"/>
      <c r="BF47" s="106" t="str">
        <f>'Variante Vorgaben'!$B$138</f>
        <v>Obstbautraktor 4-Rad</v>
      </c>
      <c r="BG47" s="46"/>
      <c r="BH47" s="627">
        <f>BH46</f>
        <v>54.600604967715668</v>
      </c>
      <c r="BI47" s="62">
        <f>'Variante Vorgaben'!$D$153*(1+Eingabeseite!$C$25)</f>
        <v>41.001823799731049</v>
      </c>
      <c r="BJ47" s="120">
        <f>BH47*BI47</f>
        <v>2238.7243842449975</v>
      </c>
      <c r="BK47" s="271">
        <f t="shared" si="42"/>
        <v>7.6224889776613791E-2</v>
      </c>
      <c r="BL47" s="626"/>
      <c r="BM47" s="106" t="str">
        <f>'Variante Vorgaben'!$B$138</f>
        <v>Obstbautraktor 4-Rad</v>
      </c>
      <c r="BN47" s="46"/>
      <c r="BO47" s="627">
        <f>BO46</f>
        <v>54.600604967715668</v>
      </c>
      <c r="BP47" s="62">
        <f>'Variante Vorgaben'!$D$153*(1+Eingabeseite!$C$25)</f>
        <v>41.001823799731049</v>
      </c>
      <c r="BQ47" s="120">
        <f>BO47*BP47</f>
        <v>2238.7243842449975</v>
      </c>
      <c r="BR47" s="271">
        <f t="shared" si="55"/>
        <v>7.6217836508589876E-2</v>
      </c>
      <c r="BS47" s="626"/>
      <c r="BT47" s="106" t="str">
        <f>'Variante Vorgaben'!$B$138</f>
        <v>Obstbautraktor 4-Rad</v>
      </c>
      <c r="BU47" s="46"/>
      <c r="BV47" s="627">
        <f>BV46</f>
        <v>54.600604967715668</v>
      </c>
      <c r="BW47" s="62">
        <f>'Variante Vorgaben'!$D$153*(1+Eingabeseite!$C$25)</f>
        <v>41.001823799731049</v>
      </c>
      <c r="BX47" s="120">
        <f>BV47*BW47</f>
        <v>2238.7243842449975</v>
      </c>
      <c r="BY47" s="271">
        <f t="shared" si="56"/>
        <v>7.6210721084015692E-2</v>
      </c>
      <c r="BZ47" s="626"/>
      <c r="CA47" s="106" t="str">
        <f>'Variante Vorgaben'!$B$138</f>
        <v>Obstbautraktor 4-Rad</v>
      </c>
      <c r="CB47" s="46"/>
      <c r="CC47" s="627">
        <f>CC46</f>
        <v>54.600604967715668</v>
      </c>
      <c r="CD47" s="62">
        <f>'Variante Vorgaben'!$D$153*(1+Eingabeseite!$C$25)</f>
        <v>41.001823799731049</v>
      </c>
      <c r="CE47" s="120">
        <f>CC47*CD47</f>
        <v>2238.7243842449975</v>
      </c>
      <c r="CF47" s="271">
        <f t="shared" si="57"/>
        <v>7.6203542967023793E-2</v>
      </c>
      <c r="CG47" s="626"/>
      <c r="CH47" s="106" t="str">
        <f>'Variante Vorgaben'!$B$138</f>
        <v>Obstbautraktor 4-Rad</v>
      </c>
      <c r="CI47" s="46"/>
      <c r="CJ47" s="627">
        <f>CJ46</f>
        <v>54.600604967715668</v>
      </c>
      <c r="CK47" s="62">
        <f>'Variante Vorgaben'!$D$153*(1+Eingabeseite!$C$25)</f>
        <v>41.001823799731049</v>
      </c>
      <c r="CL47" s="120">
        <f>CJ47*CK47</f>
        <v>2238.7243842449975</v>
      </c>
      <c r="CM47" s="271">
        <f t="shared" si="43"/>
        <v>7.6196301617339465E-2</v>
      </c>
      <c r="CN47" s="626"/>
      <c r="CO47" s="106" t="str">
        <f>'Variante Vorgaben'!$B$138</f>
        <v>Obstbautraktor 4-Rad</v>
      </c>
      <c r="CP47" s="46"/>
      <c r="CQ47" s="627">
        <f>CQ46</f>
        <v>54.600604967715668</v>
      </c>
      <c r="CR47" s="62">
        <f>'Variante Vorgaben'!$D$153*(1+Eingabeseite!$C$25)</f>
        <v>41.001823799731049</v>
      </c>
      <c r="CS47" s="120">
        <f>CQ47*CR47</f>
        <v>2238.7243842449975</v>
      </c>
      <c r="CT47" s="271">
        <f>CS47/$CS$67</f>
        <v>7.618899649024824E-2</v>
      </c>
      <c r="CU47" s="626"/>
      <c r="CV47" s="106" t="str">
        <f>'Variante Vorgaben'!$B$138</f>
        <v>Obstbautraktor 4-Rad</v>
      </c>
      <c r="CW47" s="46"/>
      <c r="CX47" s="627">
        <f>CX46</f>
        <v>54.600604967715668</v>
      </c>
      <c r="CY47" s="62">
        <f>'Variante Vorgaben'!$D$153*(1+Eingabeseite!$C$25)</f>
        <v>41.001823799731049</v>
      </c>
      <c r="CZ47" s="120">
        <f>CX47*CY47</f>
        <v>2238.7243842449975</v>
      </c>
      <c r="DA47" s="271">
        <f t="shared" si="45"/>
        <v>7.6181627036563393E-2</v>
      </c>
      <c r="DB47" s="626"/>
      <c r="DC47" s="106" t="str">
        <f>'Variante Vorgaben'!$B$138</f>
        <v>Obstbautraktor 4-Rad</v>
      </c>
      <c r="DD47" s="46"/>
      <c r="DE47" s="627">
        <f>DE46</f>
        <v>54.600604967715668</v>
      </c>
      <c r="DF47" s="62">
        <f>'Variante Vorgaben'!$D$153*(1+Eingabeseite!$C$25)</f>
        <v>41.001823799731049</v>
      </c>
      <c r="DG47" s="120">
        <f>DE47*DF47</f>
        <v>2238.7243842449975</v>
      </c>
      <c r="DH47" s="271">
        <f t="shared" si="46"/>
        <v>7.617419270259311E-2</v>
      </c>
      <c r="DI47" s="626"/>
      <c r="DJ47" s="106" t="str">
        <f>'Variante Vorgaben'!$B$138</f>
        <v>Obstbautraktor 4-Rad</v>
      </c>
      <c r="DK47" s="46"/>
      <c r="DL47" s="627">
        <f>DL46</f>
        <v>54.600604967715668</v>
      </c>
      <c r="DM47" s="62">
        <f>'Variante Vorgaben'!$D$153*(1+Eingabeseite!$C$25)</f>
        <v>41.001823799731049</v>
      </c>
      <c r="DN47" s="120">
        <f>DL47*DM47</f>
        <v>2238.7243842449975</v>
      </c>
      <c r="DO47" s="271">
        <f t="shared" si="47"/>
        <v>7.6166692930107638E-2</v>
      </c>
      <c r="DP47" s="626"/>
      <c r="DQ47" s="106" t="str">
        <f>'Variante Vorgaben'!$B$138</f>
        <v>Obstbautraktor 4-Rad</v>
      </c>
      <c r="DR47" s="46"/>
      <c r="DS47" s="627">
        <f>DS46</f>
        <v>54.600604967715668</v>
      </c>
      <c r="DT47" s="62">
        <f>'Variante Vorgaben'!$D$153*(1+Eingabeseite!$C$25)</f>
        <v>41.001823799731049</v>
      </c>
      <c r="DU47" s="120">
        <f>DS47*DT47</f>
        <v>2238.7243842449975</v>
      </c>
      <c r="DV47" s="271">
        <f t="shared" si="48"/>
        <v>7.61591271563061E-2</v>
      </c>
      <c r="DW47" s="626"/>
      <c r="DX47" s="106" t="str">
        <f>'Variante Vorgaben'!$B$138</f>
        <v>Obstbautraktor 4-Rad</v>
      </c>
      <c r="DY47" s="46"/>
      <c r="DZ47" s="627">
        <f>DZ46</f>
        <v>54.600604967715668</v>
      </c>
      <c r="EA47" s="62">
        <f>'Variante Vorgaben'!$D$153*(1+Eingabeseite!$C$25)</f>
        <v>41.001823799731049</v>
      </c>
      <c r="EB47" s="120">
        <f>DZ47*EA47</f>
        <v>2238.7243842449975</v>
      </c>
      <c r="EC47" s="271">
        <f t="shared" si="49"/>
        <v>7.6151494813783333E-2</v>
      </c>
      <c r="ED47" s="626"/>
      <c r="EE47" s="106" t="str">
        <f>'Variante Vorgaben'!$B$138</f>
        <v>Obstbautraktor 4-Rad</v>
      </c>
      <c r="EF47" s="46"/>
      <c r="EG47" s="627">
        <f>EG46</f>
        <v>54.600604967715668</v>
      </c>
      <c r="EH47" s="62">
        <f>'Variante Vorgaben'!$D$153*(1+Eingabeseite!$C$25)</f>
        <v>41.001823799731049</v>
      </c>
      <c r="EI47" s="120">
        <f>EG47*EH47</f>
        <v>2238.7243842449975</v>
      </c>
      <c r="EJ47" s="271">
        <f t="shared" si="50"/>
        <v>6.3238530767404266E-2</v>
      </c>
    </row>
    <row r="48" spans="1:256" s="1" customFormat="1" x14ac:dyDescent="0.2">
      <c r="A48" s="626"/>
      <c r="B48" s="4" t="str">
        <f>'Variante Vorgaben'!$B$148</f>
        <v>Hebebühne schwer, selbstfahrend, elektrisch</v>
      </c>
      <c r="C48" s="58"/>
      <c r="D48" s="51">
        <f>'Variante Vorgaben'!$C$148*'Variante 1.-20. Standjahr'!D43+(D57/2)+(D58/2)</f>
        <v>12.5</v>
      </c>
      <c r="E48" s="59">
        <f>'Variante Vorgaben'!$D$148</f>
        <v>17.5</v>
      </c>
      <c r="F48" s="120">
        <f>D48*E48</f>
        <v>218.75</v>
      </c>
      <c r="G48" s="271">
        <f t="shared" si="21"/>
        <v>2.154350488608521E-2</v>
      </c>
      <c r="H48" s="626"/>
      <c r="I48" s="4" t="str">
        <f>'Variante Vorgaben'!$B$148</f>
        <v>Hebebühne schwer, selbstfahrend, elektrisch</v>
      </c>
      <c r="J48" s="58"/>
      <c r="K48" s="51">
        <f>'Variante Vorgaben'!$C$148*'Variante 1.-20. Standjahr'!K43+(K57/2)+(K58/2)</f>
        <v>13.03125</v>
      </c>
      <c r="L48" s="59">
        <f>'Variante Vorgaben'!$D$148</f>
        <v>17.5</v>
      </c>
      <c r="M48" s="120">
        <f>K48*L48</f>
        <v>228.046875</v>
      </c>
      <c r="N48" s="271">
        <f t="shared" ref="N48:N49" si="58">M48/$M$67</f>
        <v>1.8324950224323434E-2</v>
      </c>
      <c r="O48" s="626"/>
      <c r="P48" s="4" t="str">
        <f>'Variante Vorgaben'!$B$148</f>
        <v>Hebebühne schwer, selbstfahrend, elektrisch</v>
      </c>
      <c r="Q48" s="58"/>
      <c r="R48" s="51">
        <f>'Variante Vorgaben'!$C$148*'Variante 1.-20. Standjahr'!R43+(R57/2)+(R58/2)</f>
        <v>13.385416666666666</v>
      </c>
      <c r="S48" s="59">
        <f>'Variante Vorgaben'!$D$148</f>
        <v>17.5</v>
      </c>
      <c r="T48" s="120">
        <f>R48*S48</f>
        <v>234.24479166666666</v>
      </c>
      <c r="U48" s="271">
        <f t="shared" si="51"/>
        <v>1.2767975075459541E-2</v>
      </c>
      <c r="V48" s="626"/>
      <c r="W48" s="4" t="str">
        <f>'Variante Vorgaben'!$B$148</f>
        <v>Hebebühne schwer, selbstfahrend, elektrisch</v>
      </c>
      <c r="X48" s="58"/>
      <c r="Y48" s="51">
        <f>'Variante Vorgaben'!$C$148*'Variante 1.-20. Standjahr'!Y43+(Y57/2)+(Y58/2)</f>
        <v>14.270833333333334</v>
      </c>
      <c r="Z48" s="59">
        <f>'Variante Vorgaben'!$D$148</f>
        <v>17.5</v>
      </c>
      <c r="AA48" s="120">
        <f>Y48*Z48</f>
        <v>249.73958333333334</v>
      </c>
      <c r="AB48" s="271">
        <f t="shared" si="52"/>
        <v>1.2275018375337588E-2</v>
      </c>
      <c r="AC48" s="626"/>
      <c r="AD48" s="4" t="str">
        <f>'Variante Vorgaben'!$B$148</f>
        <v>Hebebühne schwer, selbstfahrend, elektrisch</v>
      </c>
      <c r="AE48" s="58"/>
      <c r="AF48" s="51">
        <f>'Variante Vorgaben'!$C$148*'Variante 1.-20. Standjahr'!AF43+(AF57/2)+(AF58/2)</f>
        <v>16.041666666666664</v>
      </c>
      <c r="AG48" s="59">
        <f>'Variante Vorgaben'!$D$148</f>
        <v>17.5</v>
      </c>
      <c r="AH48" s="120">
        <f>AF48*AG48</f>
        <v>280.72916666666663</v>
      </c>
      <c r="AI48" s="271">
        <f t="shared" si="53"/>
        <v>1.0560593594206592E-2</v>
      </c>
      <c r="AJ48" s="626"/>
      <c r="AK48" s="4" t="str">
        <f>'Variante Vorgaben'!$B$148</f>
        <v>Hebebühne schwer, selbstfahrend, elektrisch</v>
      </c>
      <c r="AL48" s="58"/>
      <c r="AM48" s="51">
        <f>'Variante Vorgaben'!$C$148*'Variante 1.-20. Standjahr'!AM43+(AM57/2)+(AM58/2)</f>
        <v>18.166666666666668</v>
      </c>
      <c r="AN48" s="59">
        <f>'Variante Vorgaben'!$D$148</f>
        <v>17.5</v>
      </c>
      <c r="AO48" s="120">
        <f>AM48*AN48</f>
        <v>317.91666666666669</v>
      </c>
      <c r="AP48" s="271">
        <f t="shared" ref="AP48:AP49" si="59">AO48/$AO$67</f>
        <v>1.0827493200578945E-2</v>
      </c>
      <c r="AQ48" s="626"/>
      <c r="AR48" s="4" t="str">
        <f>'Variante Vorgaben'!$B$148</f>
        <v>Hebebühne schwer, selbstfahrend, elektrisch</v>
      </c>
      <c r="AS48" s="58"/>
      <c r="AT48" s="51">
        <f>'Variante Vorgaben'!$C$148*'Variante 1.-20. Standjahr'!AT43+(AT57/2)+(AT58/2)</f>
        <v>18.166666666666668</v>
      </c>
      <c r="AU48" s="59">
        <f>'Variante Vorgaben'!$D$148</f>
        <v>17.5</v>
      </c>
      <c r="AV48" s="120">
        <f>AT48*AU48</f>
        <v>317.91666666666669</v>
      </c>
      <c r="AW48" s="271">
        <f t="shared" si="54"/>
        <v>1.0826517610205248E-2</v>
      </c>
      <c r="AX48" s="626"/>
      <c r="AY48" s="4" t="str">
        <f>'Variante Vorgaben'!$B$148</f>
        <v>Hebebühne schwer, selbstfahrend, elektrisch</v>
      </c>
      <c r="AZ48" s="58"/>
      <c r="BA48" s="51">
        <f>'Variante Vorgaben'!$C$148*'Variante 1.-20. Standjahr'!BA43+(BA57/2)+(BA58/2)</f>
        <v>18.166666666666668</v>
      </c>
      <c r="BB48" s="59">
        <f>'Variante Vorgaben'!$D$148</f>
        <v>17.5</v>
      </c>
      <c r="BC48" s="120">
        <f>BA48*BB48</f>
        <v>317.91666666666669</v>
      </c>
      <c r="BD48" s="271">
        <f t="shared" ref="BD48:BD49" si="60">BC48/$BC$67</f>
        <v>1.0825533417689886E-2</v>
      </c>
      <c r="BE48" s="626"/>
      <c r="BF48" s="4" t="str">
        <f>'Variante Vorgaben'!$B$148</f>
        <v>Hebebühne schwer, selbstfahrend, elektrisch</v>
      </c>
      <c r="BG48" s="58"/>
      <c r="BH48" s="51">
        <f>'Variante Vorgaben'!$C$148*'Variante 1.-20. Standjahr'!BH43+(BH57/2)+(BH58/2)</f>
        <v>18.166666666666668</v>
      </c>
      <c r="BI48" s="59">
        <f>'Variante Vorgaben'!$D$148</f>
        <v>17.5</v>
      </c>
      <c r="BJ48" s="120">
        <f>BH48*BI48</f>
        <v>317.91666666666669</v>
      </c>
      <c r="BK48" s="271">
        <f t="shared" si="42"/>
        <v>1.0824540548785639E-2</v>
      </c>
      <c r="BL48" s="626"/>
      <c r="BM48" s="4" t="str">
        <f>'Variante Vorgaben'!$B$148</f>
        <v>Hebebühne schwer, selbstfahrend, elektrisch</v>
      </c>
      <c r="BN48" s="58"/>
      <c r="BO48" s="51">
        <f>'Variante Vorgaben'!$C$148*'Variante 1.-20. Standjahr'!BO43+(BO57/2)+(BO58/2)</f>
        <v>18.166666666666668</v>
      </c>
      <c r="BP48" s="59">
        <f>'Variante Vorgaben'!$D$148</f>
        <v>17.5</v>
      </c>
      <c r="BQ48" s="120">
        <f>BO48*BP48</f>
        <v>317.91666666666669</v>
      </c>
      <c r="BR48" s="271">
        <f t="shared" si="55"/>
        <v>1.0823538928633086E-2</v>
      </c>
      <c r="BS48" s="626"/>
      <c r="BT48" s="4" t="str">
        <f>'Variante Vorgaben'!$B$148</f>
        <v>Hebebühne schwer, selbstfahrend, elektrisch</v>
      </c>
      <c r="BU48" s="58"/>
      <c r="BV48" s="51">
        <f>'Variante Vorgaben'!$C$148*'Variante 1.-20. Standjahr'!BV43+(BV57/2)+(BV58/2)</f>
        <v>18.166666666666668</v>
      </c>
      <c r="BW48" s="59">
        <f>'Variante Vorgaben'!$D$148</f>
        <v>17.5</v>
      </c>
      <c r="BX48" s="120">
        <f>BV48*BW48</f>
        <v>317.91666666666669</v>
      </c>
      <c r="BY48" s="271">
        <f t="shared" si="56"/>
        <v>1.0822528481756077E-2</v>
      </c>
      <c r="BZ48" s="626"/>
      <c r="CA48" s="4" t="str">
        <f>'Variante Vorgaben'!$B$148</f>
        <v>Hebebühne schwer, selbstfahrend, elektrisch</v>
      </c>
      <c r="CB48" s="58"/>
      <c r="CC48" s="51">
        <f>'Variante Vorgaben'!$C$148*'Variante 1.-20. Standjahr'!CC43+(CC57/2)+(CC58/2)</f>
        <v>18.166666666666668</v>
      </c>
      <c r="CD48" s="59">
        <f>'Variante Vorgaben'!$D$148</f>
        <v>17.5</v>
      </c>
      <c r="CE48" s="120">
        <f>CC48*CD48</f>
        <v>317.91666666666669</v>
      </c>
      <c r="CF48" s="271">
        <f t="shared" si="57"/>
        <v>1.0821509132057176E-2</v>
      </c>
      <c r="CG48" s="626"/>
      <c r="CH48" s="4" t="str">
        <f>'Variante Vorgaben'!$B$148</f>
        <v>Hebebühne schwer, selbstfahrend, elektrisch</v>
      </c>
      <c r="CI48" s="58"/>
      <c r="CJ48" s="51">
        <f>'Variante Vorgaben'!$C$148*'Variante 1.-20. Standjahr'!CJ43+(CJ57/2)+(CJ58/2)</f>
        <v>18.166666666666668</v>
      </c>
      <c r="CK48" s="59">
        <f>'Variante Vorgaben'!$D$148</f>
        <v>17.5</v>
      </c>
      <c r="CL48" s="120">
        <f>CJ48*CK48</f>
        <v>317.91666666666669</v>
      </c>
      <c r="CM48" s="271">
        <f t="shared" si="43"/>
        <v>1.082048080281307E-2</v>
      </c>
      <c r="CN48" s="626"/>
      <c r="CO48" s="4" t="str">
        <f>'Variante Vorgaben'!$B$148</f>
        <v>Hebebühne schwer, selbstfahrend, elektrisch</v>
      </c>
      <c r="CP48" s="58"/>
      <c r="CQ48" s="51">
        <f>'Variante Vorgaben'!$C$148*'Variante 1.-20. Standjahr'!CQ43+(CQ57/2)+(CQ58/2)</f>
        <v>18.166666666666668</v>
      </c>
      <c r="CR48" s="59">
        <f>'Variante Vorgaben'!$D$148</f>
        <v>17.5</v>
      </c>
      <c r="CS48" s="120">
        <f>CQ48*CR48</f>
        <v>317.91666666666669</v>
      </c>
      <c r="CT48" s="271">
        <f>CS48/$CS$67</f>
        <v>1.0819443416669978E-2</v>
      </c>
      <c r="CU48" s="626"/>
      <c r="CV48" s="4" t="str">
        <f>'Variante Vorgaben'!$B$148</f>
        <v>Hebebühne schwer, selbstfahrend, elektrisch</v>
      </c>
      <c r="CW48" s="58"/>
      <c r="CX48" s="51">
        <f>'Variante Vorgaben'!$C$148*'Variante 1.-20. Standjahr'!CX43+(CX57/2)+(CX58/2)</f>
        <v>18.166666666666668</v>
      </c>
      <c r="CY48" s="59">
        <f>'Variante Vorgaben'!$D$148</f>
        <v>17.5</v>
      </c>
      <c r="CZ48" s="120">
        <f>CX48*CY48</f>
        <v>317.91666666666669</v>
      </c>
      <c r="DA48" s="271">
        <f t="shared" si="45"/>
        <v>1.0818396895639015E-2</v>
      </c>
      <c r="DB48" s="626"/>
      <c r="DC48" s="4" t="str">
        <f>'Variante Vorgaben'!$B$148</f>
        <v>Hebebühne schwer, selbstfahrend, elektrisch</v>
      </c>
      <c r="DD48" s="58"/>
      <c r="DE48" s="51">
        <f>'Variante Vorgaben'!$C$148*'Variante 1.-20. Standjahr'!DE43+(DE57/2)+(DE58/2)</f>
        <v>18.166666666666668</v>
      </c>
      <c r="DF48" s="59">
        <f>'Variante Vorgaben'!$D$148</f>
        <v>17.5</v>
      </c>
      <c r="DG48" s="120">
        <f>DE48*DF48</f>
        <v>317.91666666666669</v>
      </c>
      <c r="DH48" s="271">
        <f t="shared" si="46"/>
        <v>1.0817341161091542E-2</v>
      </c>
      <c r="DI48" s="626"/>
      <c r="DJ48" s="4" t="str">
        <f>'Variante Vorgaben'!$B$148</f>
        <v>Hebebühne schwer, selbstfahrend, elektrisch</v>
      </c>
      <c r="DK48" s="58"/>
      <c r="DL48" s="51">
        <f>'Variante Vorgaben'!$C$148*'Variante 1.-20. Standjahr'!DL43+(DL57/2)+(DL58/2)</f>
        <v>18.166666666666668</v>
      </c>
      <c r="DM48" s="59">
        <f>'Variante Vorgaben'!$D$148</f>
        <v>17.5</v>
      </c>
      <c r="DN48" s="120">
        <f>DL48*DM48</f>
        <v>317.91666666666669</v>
      </c>
      <c r="DO48" s="271">
        <f t="shared" si="47"/>
        <v>1.0816276133754492E-2</v>
      </c>
      <c r="DP48" s="626"/>
      <c r="DQ48" s="4" t="str">
        <f>'Variante Vorgaben'!$B$148</f>
        <v>Hebebühne schwer, selbstfahrend, elektrisch</v>
      </c>
      <c r="DR48" s="58"/>
      <c r="DS48" s="51">
        <f>'Variante Vorgaben'!$C$148*'Variante 1.-20. Standjahr'!DS43+(DS57/2)+(DS58/2)</f>
        <v>18.166666666666668</v>
      </c>
      <c r="DT48" s="59">
        <f>'Variante Vorgaben'!$D$148</f>
        <v>17.5</v>
      </c>
      <c r="DU48" s="120">
        <f>DS48*DT48</f>
        <v>317.91666666666669</v>
      </c>
      <c r="DV48" s="271">
        <f t="shared" si="48"/>
        <v>1.0815201733705667E-2</v>
      </c>
      <c r="DW48" s="626"/>
      <c r="DX48" s="4" t="str">
        <f>'Variante Vorgaben'!$B$148</f>
        <v>Hebebühne schwer, selbstfahrend, elektrisch</v>
      </c>
      <c r="DY48" s="58"/>
      <c r="DZ48" s="51">
        <f>'Variante Vorgaben'!$C$148*'Variante 1.-20. Standjahr'!DZ43+(DZ57/2)+(DZ58/2)</f>
        <v>18.166666666666668</v>
      </c>
      <c r="EA48" s="59">
        <f>'Variante Vorgaben'!$D$148</f>
        <v>17.5</v>
      </c>
      <c r="EB48" s="120">
        <f>DZ48*EA48</f>
        <v>317.91666666666669</v>
      </c>
      <c r="EC48" s="271">
        <f t="shared" si="49"/>
        <v>1.0814117880369021E-2</v>
      </c>
      <c r="ED48" s="626"/>
      <c r="EE48" s="4" t="str">
        <f>'Variante Vorgaben'!$B$148</f>
        <v>Hebebühne schwer, selbstfahrend, elektrisch</v>
      </c>
      <c r="EF48" s="58"/>
      <c r="EG48" s="51">
        <f>'Variante Vorgaben'!$C$148*'Variante 1.-20. Standjahr'!EG43+(EG57/2)+(EG58/2)</f>
        <v>18.166666666666668</v>
      </c>
      <c r="EH48" s="59">
        <f>'Variante Vorgaben'!$D$148</f>
        <v>17.5</v>
      </c>
      <c r="EI48" s="120">
        <f>EG48*EH48</f>
        <v>317.91666666666669</v>
      </c>
      <c r="EJ48" s="271">
        <f t="shared" si="50"/>
        <v>8.9803742916977312E-3</v>
      </c>
    </row>
    <row r="49" spans="1:140" s="1" customFormat="1" x14ac:dyDescent="0.2">
      <c r="A49" s="223"/>
      <c r="B49" s="4" t="str">
        <f>'Variante Vorgaben'!$B$149</f>
        <v>Diverse Kleingeräte</v>
      </c>
      <c r="C49" s="46"/>
      <c r="D49" s="46"/>
      <c r="E49" s="62"/>
      <c r="F49" s="228">
        <f>'Variante Vorgaben'!$D$149</f>
        <v>500</v>
      </c>
      <c r="G49" s="271">
        <f t="shared" si="21"/>
        <v>4.9242296882480482E-2</v>
      </c>
      <c r="H49" s="223"/>
      <c r="I49" s="4" t="str">
        <f>'Variante Vorgaben'!$B$149</f>
        <v>Diverse Kleingeräte</v>
      </c>
      <c r="J49" s="46"/>
      <c r="K49" s="46"/>
      <c r="L49" s="62"/>
      <c r="M49" s="228">
        <f>'Variante Vorgaben'!$D$149</f>
        <v>500</v>
      </c>
      <c r="N49" s="271">
        <f t="shared" si="58"/>
        <v>4.0178034064977719E-2</v>
      </c>
      <c r="O49" s="223"/>
      <c r="P49" s="4" t="str">
        <f>'Variante Vorgaben'!$B$149</f>
        <v>Diverse Kleingeräte</v>
      </c>
      <c r="Q49" s="46"/>
      <c r="R49" s="46"/>
      <c r="S49" s="62"/>
      <c r="T49" s="228">
        <f>'Variante Vorgaben'!$D$149</f>
        <v>500</v>
      </c>
      <c r="U49" s="271">
        <f t="shared" si="51"/>
        <v>2.7253487654121535E-2</v>
      </c>
      <c r="V49" s="223"/>
      <c r="W49" s="4" t="str">
        <f>'Variante Vorgaben'!$B$149</f>
        <v>Diverse Kleingeräte</v>
      </c>
      <c r="X49" s="46"/>
      <c r="Y49" s="46"/>
      <c r="Z49" s="62"/>
      <c r="AA49" s="228">
        <f>'Variante Vorgaben'!$D$149</f>
        <v>500</v>
      </c>
      <c r="AB49" s="271">
        <f t="shared" si="52"/>
        <v>2.4575636371895897E-2</v>
      </c>
      <c r="AC49" s="223"/>
      <c r="AD49" s="4" t="str">
        <f>'Variante Vorgaben'!$B$149</f>
        <v>Diverse Kleingeräte</v>
      </c>
      <c r="AE49" s="46"/>
      <c r="AF49" s="46"/>
      <c r="AG49" s="62"/>
      <c r="AH49" s="228">
        <f>'Variante Vorgaben'!$D$149</f>
        <v>500</v>
      </c>
      <c r="AI49" s="271">
        <f t="shared" si="53"/>
        <v>1.8809220501740873E-2</v>
      </c>
      <c r="AJ49" s="223"/>
      <c r="AK49" s="4" t="str">
        <f>'Variante Vorgaben'!$B$149</f>
        <v>Diverse Kleingeräte</v>
      </c>
      <c r="AL49" s="46"/>
      <c r="AM49" s="46"/>
      <c r="AN49" s="62"/>
      <c r="AO49" s="228">
        <f>'Variante Vorgaben'!$D$149</f>
        <v>500</v>
      </c>
      <c r="AP49" s="271">
        <f t="shared" si="59"/>
        <v>1.7028822858053388E-2</v>
      </c>
      <c r="AQ49" s="223"/>
      <c r="AR49" s="4" t="str">
        <f>'Variante Vorgaben'!$B$149</f>
        <v>Diverse Kleingeräte</v>
      </c>
      <c r="AS49" s="46"/>
      <c r="AT49" s="46"/>
      <c r="AU49" s="62"/>
      <c r="AV49" s="228">
        <f>'Variante Vorgaben'!$D$149</f>
        <v>500</v>
      </c>
      <c r="AW49" s="271">
        <f t="shared" si="54"/>
        <v>1.7027288508841807E-2</v>
      </c>
      <c r="AX49" s="223"/>
      <c r="AY49" s="4" t="str">
        <f>'Variante Vorgaben'!$B$149</f>
        <v>Diverse Kleingeräte</v>
      </c>
      <c r="AZ49" s="46"/>
      <c r="BA49" s="46"/>
      <c r="BB49" s="62"/>
      <c r="BC49" s="228">
        <f>'Variante Vorgaben'!$D$149</f>
        <v>500</v>
      </c>
      <c r="BD49" s="271">
        <f t="shared" si="60"/>
        <v>1.702574063070493E-2</v>
      </c>
      <c r="BE49" s="223"/>
      <c r="BF49" s="4" t="str">
        <f>'Variante Vorgaben'!$B$149</f>
        <v>Diverse Kleingeräte</v>
      </c>
      <c r="BG49" s="46"/>
      <c r="BH49" s="46"/>
      <c r="BI49" s="62"/>
      <c r="BJ49" s="228">
        <f>'Variante Vorgaben'!$D$149</f>
        <v>500</v>
      </c>
      <c r="BK49" s="271">
        <f t="shared" si="42"/>
        <v>1.7024179106871252E-2</v>
      </c>
      <c r="BL49" s="223"/>
      <c r="BM49" s="4" t="str">
        <f>'Variante Vorgaben'!$B$149</f>
        <v>Diverse Kleingeräte</v>
      </c>
      <c r="BN49" s="46"/>
      <c r="BO49" s="46"/>
      <c r="BP49" s="62"/>
      <c r="BQ49" s="228">
        <f>'Variante Vorgaben'!$D$149</f>
        <v>500</v>
      </c>
      <c r="BR49" s="271">
        <f t="shared" si="55"/>
        <v>1.7022603819606425E-2</v>
      </c>
      <c r="BS49" s="223"/>
      <c r="BT49" s="4" t="str">
        <f>'Variante Vorgaben'!$B$149</f>
        <v>Diverse Kleingeräte</v>
      </c>
      <c r="BU49" s="46"/>
      <c r="BV49" s="46"/>
      <c r="BW49" s="62"/>
      <c r="BX49" s="228">
        <f>'Variante Vorgaben'!$D$149</f>
        <v>500</v>
      </c>
      <c r="BY49" s="271">
        <f t="shared" si="56"/>
        <v>1.702101465020615E-2</v>
      </c>
      <c r="BZ49" s="223"/>
      <c r="CA49" s="4" t="str">
        <f>'Variante Vorgaben'!$B$149</f>
        <v>Diverse Kleingeräte</v>
      </c>
      <c r="CB49" s="46"/>
      <c r="CC49" s="46"/>
      <c r="CD49" s="62"/>
      <c r="CE49" s="228">
        <f>'Variante Vorgaben'!$D$149</f>
        <v>500</v>
      </c>
      <c r="CF49" s="271">
        <f t="shared" si="57"/>
        <v>1.7019411478989003E-2</v>
      </c>
      <c r="CG49" s="223"/>
      <c r="CH49" s="4" t="str">
        <f>'Variante Vorgaben'!$B$149</f>
        <v>Diverse Kleingeräte</v>
      </c>
      <c r="CI49" s="46"/>
      <c r="CJ49" s="46"/>
      <c r="CK49" s="62"/>
      <c r="CL49" s="228">
        <f>'Variante Vorgaben'!$D$149</f>
        <v>500</v>
      </c>
      <c r="CM49" s="271">
        <f t="shared" si="43"/>
        <v>1.7017794185289231E-2</v>
      </c>
      <c r="CN49" s="223"/>
      <c r="CO49" s="4" t="str">
        <f>'Variante Vorgaben'!$B$149</f>
        <v>Diverse Kleingeräte</v>
      </c>
      <c r="CP49" s="46"/>
      <c r="CQ49" s="46"/>
      <c r="CR49" s="62"/>
      <c r="CS49" s="228">
        <f>'Variante Vorgaben'!$D$149</f>
        <v>500</v>
      </c>
      <c r="CT49" s="271">
        <f t="shared" si="44"/>
        <v>1.7016162647449505E-2</v>
      </c>
      <c r="CU49" s="223"/>
      <c r="CV49" s="4" t="str">
        <f>'Variante Vorgaben'!$B$149</f>
        <v>Diverse Kleingeräte</v>
      </c>
      <c r="CW49" s="46"/>
      <c r="CX49" s="46"/>
      <c r="CY49" s="62"/>
      <c r="CZ49" s="228">
        <f>'Variante Vorgaben'!$D$149</f>
        <v>500</v>
      </c>
      <c r="DA49" s="271">
        <f t="shared" si="45"/>
        <v>1.7014516742813655E-2</v>
      </c>
      <c r="DB49" s="223"/>
      <c r="DC49" s="4" t="str">
        <f>'Variante Vorgaben'!$B$149</f>
        <v>Diverse Kleingeräte</v>
      </c>
      <c r="DD49" s="46"/>
      <c r="DE49" s="46"/>
      <c r="DF49" s="62"/>
      <c r="DG49" s="228">
        <f>'Variante Vorgaben'!$D$149</f>
        <v>500</v>
      </c>
      <c r="DH49" s="271">
        <f t="shared" si="46"/>
        <v>1.7012856347719332E-2</v>
      </c>
      <c r="DI49" s="223"/>
      <c r="DJ49" s="4" t="str">
        <f>'Variante Vorgaben'!$B$149</f>
        <v>Diverse Kleingeräte</v>
      </c>
      <c r="DK49" s="46"/>
      <c r="DL49" s="46"/>
      <c r="DM49" s="62"/>
      <c r="DN49" s="228">
        <f>'Variante Vorgaben'!$D$149</f>
        <v>500</v>
      </c>
      <c r="DO49" s="271">
        <f t="shared" si="47"/>
        <v>1.7011181337490681E-2</v>
      </c>
      <c r="DP49" s="223"/>
      <c r="DQ49" s="4" t="str">
        <f>'Variante Vorgaben'!$B$149</f>
        <v>Diverse Kleingeräte</v>
      </c>
      <c r="DR49" s="46"/>
      <c r="DS49" s="46"/>
      <c r="DT49" s="62"/>
      <c r="DU49" s="228">
        <f>'Variante Vorgaben'!$D$149</f>
        <v>500</v>
      </c>
      <c r="DV49" s="271">
        <f t="shared" si="48"/>
        <v>1.700949158643093E-2</v>
      </c>
      <c r="DW49" s="223"/>
      <c r="DX49" s="4" t="str">
        <f>'Variante Vorgaben'!$B$149</f>
        <v>Diverse Kleingeräte</v>
      </c>
      <c r="DY49" s="46"/>
      <c r="DZ49" s="46"/>
      <c r="EA49" s="62"/>
      <c r="EB49" s="228">
        <f>'Variante Vorgaben'!$D$149</f>
        <v>500</v>
      </c>
      <c r="EC49" s="271">
        <f t="shared" si="49"/>
        <v>1.7007786967814971E-2</v>
      </c>
      <c r="ED49" s="223"/>
      <c r="EE49" s="4" t="str">
        <f>'Variante Vorgaben'!$B$149</f>
        <v>Diverse Kleingeräte</v>
      </c>
      <c r="EF49" s="46"/>
      <c r="EG49" s="46"/>
      <c r="EH49" s="62"/>
      <c r="EI49" s="228">
        <f>'Variante Vorgaben'!$D$149</f>
        <v>500</v>
      </c>
      <c r="EJ49" s="271">
        <f t="shared" si="50"/>
        <v>1.4123786566234963E-2</v>
      </c>
    </row>
    <row r="50" spans="1:140" s="1" customFormat="1" x14ac:dyDescent="0.2">
      <c r="A50" s="628"/>
      <c r="B50" s="4"/>
      <c r="C50" s="46"/>
      <c r="D50" s="46"/>
      <c r="E50" s="62"/>
      <c r="F50" s="77">
        <f>F49+F47+F48+F46</f>
        <v>1699.7936377447843</v>
      </c>
      <c r="G50" s="271">
        <f t="shared" si="21"/>
        <v>0.16740348589756029</v>
      </c>
      <c r="H50" s="628"/>
      <c r="I50" s="4"/>
      <c r="J50" s="46"/>
      <c r="K50" s="46"/>
      <c r="L50" s="62"/>
      <c r="M50" s="77">
        <f>M49+M47+M48+M46</f>
        <v>2156.8252537523208</v>
      </c>
      <c r="N50" s="271">
        <f>M50/$M$67</f>
        <v>0.17331399703492992</v>
      </c>
      <c r="O50" s="628"/>
      <c r="P50" s="4"/>
      <c r="Q50" s="46"/>
      <c r="R50" s="46"/>
      <c r="S50" s="62"/>
      <c r="T50" s="77">
        <f>T49+T47+T48+T46</f>
        <v>2663.1886351462663</v>
      </c>
      <c r="U50" s="271">
        <f t="shared" si="51"/>
        <v>0.1451623571771111</v>
      </c>
      <c r="V50" s="628"/>
      <c r="W50" s="4"/>
      <c r="X50" s="46"/>
      <c r="Y50" s="46"/>
      <c r="Z50" s="62"/>
      <c r="AA50" s="77">
        <f>AA49+AA47+AA48+AA46</f>
        <v>3084.159505011793</v>
      </c>
      <c r="AB50" s="271">
        <f t="shared" si="52"/>
        <v>0.15159036501619255</v>
      </c>
      <c r="AC50" s="628"/>
      <c r="AD50" s="4"/>
      <c r="AE50" s="46"/>
      <c r="AF50" s="46"/>
      <c r="AG50" s="62"/>
      <c r="AH50" s="77">
        <f>AH49+AH47+AH48+AH46</f>
        <v>4467.9253455890503</v>
      </c>
      <c r="AI50" s="271">
        <f t="shared" si="53"/>
        <v>0.16807638602100247</v>
      </c>
      <c r="AJ50" s="628"/>
      <c r="AK50" s="4"/>
      <c r="AL50" s="46"/>
      <c r="AM50" s="46"/>
      <c r="AN50" s="62"/>
      <c r="AO50" s="77">
        <f>AO49+AO47+AO48+AO46</f>
        <v>4870.9884214578115</v>
      </c>
      <c r="AP50" s="271">
        <f>AO50/$AO$67</f>
        <v>0.16589439794526833</v>
      </c>
      <c r="AQ50" s="628"/>
      <c r="AR50" s="4"/>
      <c r="AS50" s="46"/>
      <c r="AT50" s="46"/>
      <c r="AU50" s="62"/>
      <c r="AV50" s="77">
        <f>AV49+AV47+AV48+AV46</f>
        <v>4870.9884214578115</v>
      </c>
      <c r="AW50" s="271">
        <f t="shared" si="54"/>
        <v>0.16587945035078017</v>
      </c>
      <c r="AX50" s="628"/>
      <c r="AY50" s="4"/>
      <c r="AZ50" s="46"/>
      <c r="BA50" s="46"/>
      <c r="BB50" s="62"/>
      <c r="BC50" s="77">
        <f>BC49+BC47+BC48+BC46</f>
        <v>4870.9884214578115</v>
      </c>
      <c r="BD50" s="271">
        <f>BC50/$BC$67</f>
        <v>0.16586437095781506</v>
      </c>
      <c r="BE50" s="628"/>
      <c r="BF50" s="4"/>
      <c r="BG50" s="46"/>
      <c r="BH50" s="46"/>
      <c r="BI50" s="62"/>
      <c r="BJ50" s="77">
        <f>BJ49+BJ47+BJ48+BJ46</f>
        <v>4870.9884214578115</v>
      </c>
      <c r="BK50" s="271">
        <f t="shared" si="42"/>
        <v>0.16584915862878771</v>
      </c>
      <c r="BL50" s="628"/>
      <c r="BM50" s="4"/>
      <c r="BN50" s="46"/>
      <c r="BO50" s="46"/>
      <c r="BP50" s="62"/>
      <c r="BQ50" s="77">
        <f>BQ49+BQ47+BQ48+BQ46</f>
        <v>4870.9884214578115</v>
      </c>
      <c r="BR50" s="271">
        <f t="shared" si="55"/>
        <v>0.16583381221673282</v>
      </c>
      <c r="BS50" s="628"/>
      <c r="BT50" s="4"/>
      <c r="BU50" s="46"/>
      <c r="BV50" s="46"/>
      <c r="BW50" s="62"/>
      <c r="BX50" s="77">
        <f>BX49+BX47+BX48+BX46</f>
        <v>4870.9884214578115</v>
      </c>
      <c r="BY50" s="271">
        <f t="shared" si="56"/>
        <v>0.16581833056523587</v>
      </c>
      <c r="BZ50" s="628"/>
      <c r="CA50" s="4"/>
      <c r="CB50" s="46"/>
      <c r="CC50" s="46"/>
      <c r="CD50" s="62"/>
      <c r="CE50" s="77">
        <f>CE49+CE47+CE48+CE46</f>
        <v>4870.9884214578115</v>
      </c>
      <c r="CF50" s="271">
        <f t="shared" si="57"/>
        <v>0.1658027125083632</v>
      </c>
      <c r="CG50" s="628"/>
      <c r="CH50" s="4"/>
      <c r="CI50" s="46"/>
      <c r="CJ50" s="46"/>
      <c r="CK50" s="62"/>
      <c r="CL50" s="77">
        <f>CL49+CL47+CL48+CL46</f>
        <v>4870.9884214578115</v>
      </c>
      <c r="CM50" s="271">
        <f t="shared" si="43"/>
        <v>0.16578695687059183</v>
      </c>
      <c r="CN50" s="628"/>
      <c r="CO50" s="4"/>
      <c r="CP50" s="46"/>
      <c r="CQ50" s="46"/>
      <c r="CR50" s="62"/>
      <c r="CS50" s="77">
        <f>CS49+CS47+CS48+CS46</f>
        <v>4870.9884214578115</v>
      </c>
      <c r="CT50" s="271">
        <f t="shared" si="44"/>
        <v>0.16577106246673889</v>
      </c>
      <c r="CU50" s="628"/>
      <c r="CV50" s="4"/>
      <c r="CW50" s="46"/>
      <c r="CX50" s="46"/>
      <c r="CY50" s="62"/>
      <c r="CZ50" s="77">
        <f>CZ49+CZ47+CZ48+CZ46</f>
        <v>4870.9884214578115</v>
      </c>
      <c r="DA50" s="271">
        <f t="shared" si="45"/>
        <v>0.16575502810189077</v>
      </c>
      <c r="DB50" s="628"/>
      <c r="DC50" s="4"/>
      <c r="DD50" s="46"/>
      <c r="DE50" s="46"/>
      <c r="DF50" s="62"/>
      <c r="DG50" s="77">
        <f>DG49+DG47+DG48+DG46</f>
        <v>4870.9884214578115</v>
      </c>
      <c r="DH50" s="271">
        <f t="shared" si="46"/>
        <v>0.16573885257133178</v>
      </c>
      <c r="DI50" s="628"/>
      <c r="DJ50" s="4"/>
      <c r="DK50" s="46"/>
      <c r="DL50" s="46"/>
      <c r="DM50" s="62"/>
      <c r="DN50" s="77">
        <f>DN49+DN47+DN48+DN46</f>
        <v>4870.9884214578115</v>
      </c>
      <c r="DO50" s="271">
        <f t="shared" si="47"/>
        <v>0.16572253466047263</v>
      </c>
      <c r="DP50" s="628"/>
      <c r="DQ50" s="4"/>
      <c r="DR50" s="46"/>
      <c r="DS50" s="46"/>
      <c r="DT50" s="62"/>
      <c r="DU50" s="77">
        <f>DU49+DU47+DU48+DU46</f>
        <v>4870.9884214578115</v>
      </c>
      <c r="DV50" s="271">
        <f t="shared" si="48"/>
        <v>0.16570607314477825</v>
      </c>
      <c r="DW50" s="628"/>
      <c r="DX50" s="4"/>
      <c r="DY50" s="46"/>
      <c r="DZ50" s="46"/>
      <c r="EA50" s="62"/>
      <c r="EB50" s="77">
        <f>EB49+EB47+EB48+EB46</f>
        <v>4870.9884214578115</v>
      </c>
      <c r="EC50" s="271">
        <f t="shared" si="49"/>
        <v>0.16568946678969557</v>
      </c>
      <c r="ED50" s="628"/>
      <c r="EE50" s="4"/>
      <c r="EF50" s="46"/>
      <c r="EG50" s="46"/>
      <c r="EH50" s="62"/>
      <c r="EI50" s="77">
        <f>EI49+EI47+EI48+EI46</f>
        <v>4870.9884214578115</v>
      </c>
      <c r="EJ50" s="271">
        <f t="shared" si="50"/>
        <v>0.13759360166254378</v>
      </c>
    </row>
    <row r="51" spans="1:140" ht="19.5" customHeight="1" x14ac:dyDescent="0.2">
      <c r="A51"/>
      <c r="C51" s="58"/>
      <c r="D51" s="123" t="s">
        <v>27</v>
      </c>
      <c r="E51" s="128" t="s">
        <v>21</v>
      </c>
      <c r="F51" s="124" t="s">
        <v>22</v>
      </c>
      <c r="G51" s="271"/>
      <c r="H51"/>
      <c r="I51" s="19"/>
      <c r="J51" s="58"/>
      <c r="K51" s="123" t="s">
        <v>27</v>
      </c>
      <c r="L51" s="128" t="s">
        <v>21</v>
      </c>
      <c r="M51" s="124" t="s">
        <v>22</v>
      </c>
      <c r="N51" s="42"/>
      <c r="P51" s="19"/>
      <c r="Q51" s="58"/>
      <c r="R51" s="123" t="s">
        <v>27</v>
      </c>
      <c r="S51" s="128" t="s">
        <v>21</v>
      </c>
      <c r="T51" s="124" t="s">
        <v>22</v>
      </c>
      <c r="U51" s="42"/>
      <c r="W51" s="19"/>
      <c r="X51" s="58"/>
      <c r="Y51" s="123" t="s">
        <v>27</v>
      </c>
      <c r="Z51" s="128" t="s">
        <v>21</v>
      </c>
      <c r="AA51" s="124" t="s">
        <v>22</v>
      </c>
      <c r="AB51" s="42"/>
      <c r="AD51" s="19"/>
      <c r="AE51" s="58"/>
      <c r="AF51" s="123" t="s">
        <v>27</v>
      </c>
      <c r="AG51" s="128" t="s">
        <v>21</v>
      </c>
      <c r="AH51" s="124" t="s">
        <v>22</v>
      </c>
      <c r="AI51" s="42"/>
      <c r="AK51" s="19"/>
      <c r="AL51" s="58"/>
      <c r="AM51" s="123" t="s">
        <v>27</v>
      </c>
      <c r="AN51" s="128" t="s">
        <v>21</v>
      </c>
      <c r="AO51" s="124" t="s">
        <v>22</v>
      </c>
      <c r="AP51" s="42"/>
      <c r="AR51" s="19"/>
      <c r="AS51" s="58"/>
      <c r="AT51" s="123" t="s">
        <v>27</v>
      </c>
      <c r="AU51" s="128" t="s">
        <v>21</v>
      </c>
      <c r="AV51" s="124" t="s">
        <v>22</v>
      </c>
      <c r="AW51" s="42"/>
      <c r="AY51" s="19"/>
      <c r="AZ51" s="58"/>
      <c r="BA51" s="123" t="s">
        <v>27</v>
      </c>
      <c r="BB51" s="128" t="s">
        <v>21</v>
      </c>
      <c r="BC51" s="124" t="s">
        <v>22</v>
      </c>
      <c r="BD51" s="42"/>
      <c r="BF51" s="19"/>
      <c r="BG51" s="58"/>
      <c r="BH51" s="123" t="s">
        <v>27</v>
      </c>
      <c r="BI51" s="128" t="s">
        <v>21</v>
      </c>
      <c r="BJ51" s="124" t="s">
        <v>22</v>
      </c>
      <c r="BK51" s="42"/>
      <c r="BM51" s="19"/>
      <c r="BN51" s="58"/>
      <c r="BO51" s="123" t="s">
        <v>27</v>
      </c>
      <c r="BP51" s="128" t="s">
        <v>21</v>
      </c>
      <c r="BQ51" s="124" t="s">
        <v>22</v>
      </c>
      <c r="BR51" s="42"/>
      <c r="BT51" s="19"/>
      <c r="BU51" s="58"/>
      <c r="BV51" s="123" t="s">
        <v>27</v>
      </c>
      <c r="BW51" s="128" t="s">
        <v>21</v>
      </c>
      <c r="BX51" s="124" t="s">
        <v>22</v>
      </c>
      <c r="BY51" s="42"/>
      <c r="CA51" s="19"/>
      <c r="CB51" s="58"/>
      <c r="CC51" s="123" t="s">
        <v>27</v>
      </c>
      <c r="CD51" s="128" t="s">
        <v>21</v>
      </c>
      <c r="CE51" s="124" t="s">
        <v>22</v>
      </c>
      <c r="CF51" s="42"/>
      <c r="CH51" s="19"/>
      <c r="CI51" s="58"/>
      <c r="CJ51" s="123" t="s">
        <v>27</v>
      </c>
      <c r="CK51" s="128" t="s">
        <v>21</v>
      </c>
      <c r="CL51" s="124" t="s">
        <v>22</v>
      </c>
      <c r="CM51" s="42"/>
      <c r="CO51" s="19"/>
      <c r="CP51" s="58"/>
      <c r="CQ51" s="123" t="s">
        <v>27</v>
      </c>
      <c r="CR51" s="128" t="s">
        <v>21</v>
      </c>
      <c r="CS51" s="124" t="s">
        <v>22</v>
      </c>
      <c r="CT51" s="42"/>
      <c r="CV51" s="19"/>
      <c r="CW51" s="58"/>
      <c r="CX51" s="123" t="s">
        <v>27</v>
      </c>
      <c r="CY51" s="128" t="s">
        <v>21</v>
      </c>
      <c r="CZ51" s="124" t="s">
        <v>22</v>
      </c>
      <c r="DA51" s="42"/>
      <c r="DC51" s="19"/>
      <c r="DD51" s="58"/>
      <c r="DE51" s="123" t="s">
        <v>27</v>
      </c>
      <c r="DF51" s="128" t="s">
        <v>21</v>
      </c>
      <c r="DG51" s="124" t="s">
        <v>22</v>
      </c>
      <c r="DH51" s="42"/>
      <c r="DJ51" s="19"/>
      <c r="DK51" s="58"/>
      <c r="DL51" s="123" t="s">
        <v>27</v>
      </c>
      <c r="DM51" s="128" t="s">
        <v>21</v>
      </c>
      <c r="DN51" s="124" t="s">
        <v>22</v>
      </c>
      <c r="DO51" s="42"/>
      <c r="DQ51" s="19"/>
      <c r="DR51" s="58"/>
      <c r="DS51" s="123" t="s">
        <v>27</v>
      </c>
      <c r="DT51" s="128" t="s">
        <v>21</v>
      </c>
      <c r="DU51" s="124" t="s">
        <v>22</v>
      </c>
      <c r="DV51" s="271"/>
      <c r="DX51" s="19"/>
      <c r="DY51" s="58"/>
      <c r="DZ51" s="123" t="s">
        <v>27</v>
      </c>
      <c r="EA51" s="128" t="s">
        <v>21</v>
      </c>
      <c r="EB51" s="124" t="s">
        <v>22</v>
      </c>
      <c r="EC51" s="42"/>
      <c r="EE51" s="19"/>
      <c r="EF51" s="58"/>
      <c r="EG51" s="123" t="s">
        <v>27</v>
      </c>
      <c r="EH51" s="128" t="s">
        <v>21</v>
      </c>
      <c r="EI51" s="124" t="s">
        <v>22</v>
      </c>
      <c r="EJ51" s="42"/>
    </row>
    <row r="52" spans="1:140" s="1" customFormat="1" ht="15.75" customHeight="1" x14ac:dyDescent="0.2">
      <c r="A52" s="3" t="s">
        <v>64</v>
      </c>
      <c r="B52" s="4" t="s">
        <v>29</v>
      </c>
      <c r="C52" s="58"/>
      <c r="D52" s="503">
        <f>C41*D41</f>
        <v>0</v>
      </c>
      <c r="E52" s="62">
        <f>'Variante Vorgaben'!$C$37</f>
        <v>32.700000000000003</v>
      </c>
      <c r="F52" s="43">
        <f t="shared" ref="F52:F61" si="61">D52*E52</f>
        <v>0</v>
      </c>
      <c r="G52" s="271">
        <f t="shared" si="21"/>
        <v>0</v>
      </c>
      <c r="H52" s="3" t="s">
        <v>64</v>
      </c>
      <c r="I52" s="4" t="s">
        <v>29</v>
      </c>
      <c r="J52" s="58"/>
      <c r="K52" s="503">
        <f>J41*K41</f>
        <v>1</v>
      </c>
      <c r="L52" s="62">
        <f>'Variante Vorgaben'!$C$37</f>
        <v>32.700000000000003</v>
      </c>
      <c r="M52" s="43">
        <f t="shared" ref="M52:M61" si="62">K52*L52</f>
        <v>32.700000000000003</v>
      </c>
      <c r="N52" s="271">
        <f t="shared" ref="N52:N67" si="63">M52/$M$67</f>
        <v>2.6276434278495434E-3</v>
      </c>
      <c r="O52" s="3" t="s">
        <v>64</v>
      </c>
      <c r="P52" s="4" t="s">
        <v>29</v>
      </c>
      <c r="Q52" s="58"/>
      <c r="R52" s="503">
        <f>Q41*R41</f>
        <v>2</v>
      </c>
      <c r="S52" s="62">
        <f>'Variante Vorgaben'!$C$37</f>
        <v>32.700000000000003</v>
      </c>
      <c r="T52" s="43">
        <f t="shared" ref="T52:T61" si="64">R52*S52</f>
        <v>65.400000000000006</v>
      </c>
      <c r="U52" s="271">
        <f t="shared" ref="U52:U67" si="65">T52/$T$67</f>
        <v>3.5647561851590969E-3</v>
      </c>
      <c r="V52" s="3" t="s">
        <v>64</v>
      </c>
      <c r="W52" s="4" t="s">
        <v>29</v>
      </c>
      <c r="X52" s="58"/>
      <c r="Y52" s="503">
        <f>X41*Y41</f>
        <v>3</v>
      </c>
      <c r="Z52" s="62">
        <f>'Variante Vorgaben'!$C$37</f>
        <v>32.700000000000003</v>
      </c>
      <c r="AA52" s="43">
        <f t="shared" ref="AA52:AA61" si="66">Y52*Z52</f>
        <v>98.100000000000009</v>
      </c>
      <c r="AB52" s="271">
        <f t="shared" ref="AB52:AB67" si="67">AA52/$AA$67</f>
        <v>4.821739856165976E-3</v>
      </c>
      <c r="AC52" s="3" t="s">
        <v>64</v>
      </c>
      <c r="AD52" s="4" t="s">
        <v>29</v>
      </c>
      <c r="AE52" s="58"/>
      <c r="AF52" s="503">
        <f>AE41*AF41</f>
        <v>3</v>
      </c>
      <c r="AG52" s="62">
        <f>'Variante Vorgaben'!$C$37</f>
        <v>32.700000000000003</v>
      </c>
      <c r="AH52" s="43">
        <f t="shared" ref="AH52:AH61" si="68">AF52*AG52</f>
        <v>98.100000000000009</v>
      </c>
      <c r="AI52" s="271">
        <f t="shared" ref="AI52:AI67" si="69">AH52/$AH$67</f>
        <v>3.6903690624415595E-3</v>
      </c>
      <c r="AJ52" s="3" t="s">
        <v>64</v>
      </c>
      <c r="AK52" s="4" t="s">
        <v>29</v>
      </c>
      <c r="AL52" s="58"/>
      <c r="AM52" s="503">
        <f>AL41*AM41</f>
        <v>4</v>
      </c>
      <c r="AN52" s="62">
        <f>'Variante Vorgaben'!$C$37</f>
        <v>32.700000000000003</v>
      </c>
      <c r="AO52" s="43">
        <f t="shared" ref="AO52:AO61" si="70">AM52*AN52</f>
        <v>130.80000000000001</v>
      </c>
      <c r="AP52" s="271">
        <f t="shared" ref="AP52:AP67" si="71">AO52/$AO$67</f>
        <v>4.4547400596667659E-3</v>
      </c>
      <c r="AQ52" s="3" t="s">
        <v>64</v>
      </c>
      <c r="AR52" s="4" t="s">
        <v>29</v>
      </c>
      <c r="AS52" s="58"/>
      <c r="AT52" s="503">
        <f>AS41*AT41</f>
        <v>4</v>
      </c>
      <c r="AU52" s="62">
        <f>'Variante Vorgaben'!$C$37</f>
        <v>32.700000000000003</v>
      </c>
      <c r="AV52" s="43">
        <f t="shared" ref="AV52:AV61" si="72">AT52*AU52</f>
        <v>130.80000000000001</v>
      </c>
      <c r="AW52" s="271">
        <f t="shared" ref="AW52:AW67" si="73">AV52/$AV$67</f>
        <v>4.4543386739130169E-3</v>
      </c>
      <c r="AX52" s="3" t="s">
        <v>64</v>
      </c>
      <c r="AY52" s="4" t="s">
        <v>29</v>
      </c>
      <c r="AZ52" s="58"/>
      <c r="BA52" s="503">
        <f>AZ41*BA41</f>
        <v>4</v>
      </c>
      <c r="BB52" s="62">
        <f>'Variante Vorgaben'!$C$37</f>
        <v>32.700000000000003</v>
      </c>
      <c r="BC52" s="43">
        <f t="shared" ref="BC52:BC61" si="74">BA52*BB52</f>
        <v>130.80000000000001</v>
      </c>
      <c r="BD52" s="271">
        <f t="shared" ref="BD52:BD67" si="75">BC52/$BC$67</f>
        <v>4.45393374899241E-3</v>
      </c>
      <c r="BE52" s="3" t="s">
        <v>64</v>
      </c>
      <c r="BF52" s="4" t="s">
        <v>29</v>
      </c>
      <c r="BG52" s="58"/>
      <c r="BH52" s="503">
        <f>BG41*BH41</f>
        <v>4</v>
      </c>
      <c r="BI52" s="62">
        <f>'Variante Vorgaben'!$C$37</f>
        <v>32.700000000000003</v>
      </c>
      <c r="BJ52" s="43">
        <f t="shared" ref="BJ52:BJ61" si="76">BH52*BI52</f>
        <v>130.80000000000001</v>
      </c>
      <c r="BK52" s="271">
        <f t="shared" ref="BK52:BK67" si="77">BJ52/$BJ$67</f>
        <v>4.4535252543575201E-3</v>
      </c>
      <c r="BL52" s="3" t="s">
        <v>64</v>
      </c>
      <c r="BM52" s="4" t="s">
        <v>29</v>
      </c>
      <c r="BN52" s="58"/>
      <c r="BO52" s="503">
        <f>BN41*BO41</f>
        <v>4</v>
      </c>
      <c r="BP52" s="62">
        <f>'Variante Vorgaben'!$C$37</f>
        <v>32.700000000000003</v>
      </c>
      <c r="BQ52" s="43">
        <f t="shared" ref="BQ52:BQ61" si="78">BO52*BP52</f>
        <v>130.80000000000001</v>
      </c>
      <c r="BR52" s="271">
        <f t="shared" ref="BR52:BR67" si="79">BQ52/$BQ$67</f>
        <v>4.4531131592090408E-3</v>
      </c>
      <c r="BS52" s="3" t="s">
        <v>64</v>
      </c>
      <c r="BT52" s="4" t="s">
        <v>29</v>
      </c>
      <c r="BU52" s="58"/>
      <c r="BV52" s="503">
        <f>BU41*BV41</f>
        <v>4</v>
      </c>
      <c r="BW52" s="62">
        <f>'Variante Vorgaben'!$C$37</f>
        <v>32.700000000000003</v>
      </c>
      <c r="BX52" s="43">
        <f t="shared" ref="BX52:BX61" si="80">BV52*BW52</f>
        <v>130.80000000000001</v>
      </c>
      <c r="BY52" s="271">
        <f t="shared" ref="BY52:BY67" si="81">BX52/$BX$67</f>
        <v>4.4526974324939289E-3</v>
      </c>
      <c r="BZ52" s="3" t="s">
        <v>64</v>
      </c>
      <c r="CA52" s="4" t="s">
        <v>29</v>
      </c>
      <c r="CB52" s="58"/>
      <c r="CC52" s="503">
        <f>CB41*CC41</f>
        <v>4</v>
      </c>
      <c r="CD52" s="62">
        <f>'Variante Vorgaben'!$C$37</f>
        <v>32.700000000000003</v>
      </c>
      <c r="CE52" s="43">
        <f t="shared" ref="CE52:CE61" si="82">CC52*CD52</f>
        <v>130.80000000000001</v>
      </c>
      <c r="CF52" s="271">
        <f t="shared" ref="CF52:CF67" si="83">CE52/$CE$67</f>
        <v>4.4522780429035241E-3</v>
      </c>
      <c r="CG52" s="3" t="s">
        <v>64</v>
      </c>
      <c r="CH52" s="4" t="s">
        <v>29</v>
      </c>
      <c r="CI52" s="58"/>
      <c r="CJ52" s="503">
        <f>CI41*CJ41</f>
        <v>4</v>
      </c>
      <c r="CK52" s="62">
        <f>'Variante Vorgaben'!$C$37</f>
        <v>32.700000000000003</v>
      </c>
      <c r="CL52" s="43">
        <f t="shared" ref="CL52:CL61" si="84">CJ52*CK52</f>
        <v>130.80000000000001</v>
      </c>
      <c r="CM52" s="271">
        <f t="shared" ref="CM52:CM67" si="85">CL52/$CL$67</f>
        <v>4.4518549588716634E-3</v>
      </c>
      <c r="CN52" s="3" t="s">
        <v>64</v>
      </c>
      <c r="CO52" s="4" t="s">
        <v>29</v>
      </c>
      <c r="CP52" s="58"/>
      <c r="CQ52" s="503">
        <f>CP41*CQ41</f>
        <v>4</v>
      </c>
      <c r="CR52" s="62">
        <f>'Variante Vorgaben'!$C$37</f>
        <v>32.700000000000003</v>
      </c>
      <c r="CS52" s="43">
        <f t="shared" ref="CS52:CS61" si="86">CQ52*CR52</f>
        <v>130.80000000000001</v>
      </c>
      <c r="CT52" s="271">
        <f t="shared" ref="CT52:CT67" si="87">CS52/$CS$67</f>
        <v>4.4514281485727916E-3</v>
      </c>
      <c r="CU52" s="3" t="s">
        <v>64</v>
      </c>
      <c r="CV52" s="4" t="s">
        <v>29</v>
      </c>
      <c r="CW52" s="58"/>
      <c r="CX52" s="503">
        <f>CW41*CX41</f>
        <v>4</v>
      </c>
      <c r="CY52" s="62">
        <f>'Variante Vorgaben'!$C$37</f>
        <v>32.700000000000003</v>
      </c>
      <c r="CZ52" s="43">
        <f t="shared" ref="CZ52:CZ61" si="88">CX52*CY52</f>
        <v>130.80000000000001</v>
      </c>
      <c r="DA52" s="271">
        <f t="shared" ref="DA52:DA67" si="89">CZ52/$CZ$67</f>
        <v>4.450997579920052E-3</v>
      </c>
      <c r="DB52" s="3" t="s">
        <v>64</v>
      </c>
      <c r="DC52" s="4" t="s">
        <v>29</v>
      </c>
      <c r="DD52" s="58"/>
      <c r="DE52" s="503">
        <f>DD41*DE41</f>
        <v>4</v>
      </c>
      <c r="DF52" s="62">
        <f>'Variante Vorgaben'!$C$37</f>
        <v>32.700000000000003</v>
      </c>
      <c r="DG52" s="43">
        <f t="shared" ref="DG52:DG61" si="90">DE52*DF52</f>
        <v>130.80000000000001</v>
      </c>
      <c r="DH52" s="271">
        <f t="shared" ref="DH52:DH67" si="91">DG52/$DG$67</f>
        <v>4.4505632205633777E-3</v>
      </c>
      <c r="DI52" s="3" t="s">
        <v>64</v>
      </c>
      <c r="DJ52" s="4" t="s">
        <v>29</v>
      </c>
      <c r="DK52" s="58"/>
      <c r="DL52" s="503">
        <f>DK41*DL41</f>
        <v>4</v>
      </c>
      <c r="DM52" s="62">
        <f>'Variante Vorgaben'!$C$37</f>
        <v>32.700000000000003</v>
      </c>
      <c r="DN52" s="43">
        <f t="shared" ref="DN52:DN61" si="92">DL52*DM52</f>
        <v>130.80000000000001</v>
      </c>
      <c r="DO52" s="271">
        <f t="shared" ref="DO52:DO67" si="93">DN52/$DN$67</f>
        <v>4.450125037887563E-3</v>
      </c>
      <c r="DP52" s="3" t="s">
        <v>64</v>
      </c>
      <c r="DQ52" s="4" t="s">
        <v>29</v>
      </c>
      <c r="DR52" s="58"/>
      <c r="DS52" s="503">
        <f>DR41*DS41</f>
        <v>4</v>
      </c>
      <c r="DT52" s="62">
        <f>'Variante Vorgaben'!$C$37</f>
        <v>32.700000000000003</v>
      </c>
      <c r="DU52" s="43">
        <f t="shared" ref="DU52:DU61" si="94">DS52*DT52</f>
        <v>130.80000000000001</v>
      </c>
      <c r="DV52" s="271">
        <f t="shared" ref="DV52:DV67" si="95">DU52/$DU$67</f>
        <v>4.4496829990103319E-3</v>
      </c>
      <c r="DW52" s="3" t="s">
        <v>64</v>
      </c>
      <c r="DX52" s="4" t="s">
        <v>29</v>
      </c>
      <c r="DY52" s="58"/>
      <c r="DZ52" s="503">
        <f>DY41*DZ41</f>
        <v>4</v>
      </c>
      <c r="EA52" s="62">
        <f>'Variante Vorgaben'!$C$37</f>
        <v>32.700000000000003</v>
      </c>
      <c r="EB52" s="43">
        <f t="shared" ref="EB52:EB61" si="96">DZ52*EA52</f>
        <v>130.80000000000001</v>
      </c>
      <c r="EC52" s="271">
        <f t="shared" ref="EC52:EC67" si="97">EB52/$EB$67</f>
        <v>4.4492370707803972E-3</v>
      </c>
      <c r="ED52" s="3" t="s">
        <v>64</v>
      </c>
      <c r="EE52" s="4" t="s">
        <v>29</v>
      </c>
      <c r="EF52" s="58"/>
      <c r="EG52" s="503">
        <f>EF41*EG41</f>
        <v>4</v>
      </c>
      <c r="EH52" s="62">
        <f>'Variante Vorgaben'!$C$37</f>
        <v>32.700000000000003</v>
      </c>
      <c r="EI52" s="43">
        <f t="shared" ref="EI52:EI61" si="98">EG52*EH52</f>
        <v>130.80000000000001</v>
      </c>
      <c r="EJ52" s="271">
        <f t="shared" ref="EJ52:EJ67" si="99">EI52/$EI$67</f>
        <v>3.6947825657270665E-3</v>
      </c>
    </row>
    <row r="53" spans="1:140" s="1" customFormat="1" x14ac:dyDescent="0.2">
      <c r="A53" s="3"/>
      <c r="B53" s="4" t="s">
        <v>164</v>
      </c>
      <c r="D53" s="47">
        <f>((C39*D39)+(C40*D40))+'Variante Vorgaben'!$B$101+'Variante Vorgaben'!$C$101</f>
        <v>25</v>
      </c>
      <c r="E53" s="62">
        <f>'Variante Vorgaben'!$C$37</f>
        <v>32.700000000000003</v>
      </c>
      <c r="F53" s="43">
        <f t="shared" si="61"/>
        <v>817.50000000000011</v>
      </c>
      <c r="G53" s="271">
        <f t="shared" si="21"/>
        <v>8.0511155402855597E-2</v>
      </c>
      <c r="H53" s="3"/>
      <c r="I53" s="4" t="s">
        <v>164</v>
      </c>
      <c r="K53" s="47">
        <f>((J39*K39)+(J40*K40))+'Variante Vorgaben'!$B$101+'Variante Vorgaben'!$C$101</f>
        <v>29</v>
      </c>
      <c r="L53" s="62">
        <f>'Variante Vorgaben'!$C$37</f>
        <v>32.700000000000003</v>
      </c>
      <c r="M53" s="43">
        <f t="shared" si="62"/>
        <v>948.30000000000007</v>
      </c>
      <c r="N53" s="271">
        <f t="shared" si="63"/>
        <v>7.6201659407636749E-2</v>
      </c>
      <c r="O53" s="3"/>
      <c r="P53" s="4" t="s">
        <v>164</v>
      </c>
      <c r="R53" s="47">
        <f>((Q39*R39)+(Q40*R40))+'Variante Vorgaben'!$B$101+'Variante Vorgaben'!$C$101</f>
        <v>34</v>
      </c>
      <c r="S53" s="62">
        <f>'Variante Vorgaben'!$C$37</f>
        <v>32.700000000000003</v>
      </c>
      <c r="T53" s="43">
        <f t="shared" si="64"/>
        <v>1111.8000000000002</v>
      </c>
      <c r="U53" s="271">
        <f t="shared" si="65"/>
        <v>6.0600855147704649E-2</v>
      </c>
      <c r="V53" s="3"/>
      <c r="W53" s="4" t="s">
        <v>164</v>
      </c>
      <c r="Y53" s="47">
        <f>((X39*Y39)+(X40*Y40))+'Variante Vorgaben'!$B$101+'Variante Vorgaben'!$C$101</f>
        <v>34</v>
      </c>
      <c r="Z53" s="62">
        <f>'Variante Vorgaben'!$C$37</f>
        <v>32.700000000000003</v>
      </c>
      <c r="AA53" s="43">
        <f t="shared" si="66"/>
        <v>1111.8000000000002</v>
      </c>
      <c r="AB53" s="271">
        <f t="shared" si="67"/>
        <v>5.4646385036547729E-2</v>
      </c>
      <c r="AC53" s="3"/>
      <c r="AD53" s="4" t="s">
        <v>164</v>
      </c>
      <c r="AF53" s="47">
        <f>((AE39*AF39)+(AE40*AF40))+'Variante Vorgaben'!$B$101+'Variante Vorgaben'!$C$101</f>
        <v>48</v>
      </c>
      <c r="AG53" s="62">
        <f>'Variante Vorgaben'!$C$37</f>
        <v>32.700000000000003</v>
      </c>
      <c r="AH53" s="43">
        <f t="shared" si="68"/>
        <v>1569.6000000000001</v>
      </c>
      <c r="AI53" s="271">
        <f t="shared" si="69"/>
        <v>5.9045904999064952E-2</v>
      </c>
      <c r="AJ53" s="3"/>
      <c r="AK53" s="4" t="s">
        <v>164</v>
      </c>
      <c r="AM53" s="47">
        <f>((AL39*AM39)+(AL40*AM40))+'Variante Vorgaben'!$B$101+'Variante Vorgaben'!$C$101</f>
        <v>48</v>
      </c>
      <c r="AN53" s="62">
        <f>'Variante Vorgaben'!$C$37</f>
        <v>32.700000000000003</v>
      </c>
      <c r="AO53" s="43">
        <f t="shared" si="70"/>
        <v>1569.6000000000001</v>
      </c>
      <c r="AP53" s="271">
        <f t="shared" si="71"/>
        <v>5.3456880716001194E-2</v>
      </c>
      <c r="AQ53" s="3"/>
      <c r="AR53" s="4" t="s">
        <v>164</v>
      </c>
      <c r="AT53" s="47">
        <f>((AS39*AT39)+(AS40*AT40))+'Variante Vorgaben'!$B$101+'Variante Vorgaben'!$C$101</f>
        <v>48</v>
      </c>
      <c r="AU53" s="62">
        <f>'Variante Vorgaben'!$C$37</f>
        <v>32.700000000000003</v>
      </c>
      <c r="AV53" s="43">
        <f t="shared" si="72"/>
        <v>1569.6000000000001</v>
      </c>
      <c r="AW53" s="271">
        <f t="shared" si="73"/>
        <v>5.34520640869562E-2</v>
      </c>
      <c r="AX53" s="3"/>
      <c r="AY53" s="4" t="s">
        <v>164</v>
      </c>
      <c r="BA53" s="47">
        <f>((AZ39*BA39)+(AZ40*BA40))+'Variante Vorgaben'!$B$101+'Variante Vorgaben'!$C$101</f>
        <v>48</v>
      </c>
      <c r="BB53" s="62">
        <f>'Variante Vorgaben'!$C$37</f>
        <v>32.700000000000003</v>
      </c>
      <c r="BC53" s="43">
        <f t="shared" si="74"/>
        <v>1569.6000000000001</v>
      </c>
      <c r="BD53" s="271">
        <f t="shared" si="75"/>
        <v>5.3447204987908926E-2</v>
      </c>
      <c r="BE53" s="3"/>
      <c r="BF53" s="4" t="s">
        <v>164</v>
      </c>
      <c r="BH53" s="47">
        <f>((BG39*BH39)+(BG40*BH40))+'Variante Vorgaben'!$B$101+'Variante Vorgaben'!$C$101</f>
        <v>48</v>
      </c>
      <c r="BI53" s="62">
        <f>'Variante Vorgaben'!$C$37</f>
        <v>32.700000000000003</v>
      </c>
      <c r="BJ53" s="43">
        <f t="shared" si="76"/>
        <v>1569.6000000000001</v>
      </c>
      <c r="BK53" s="271">
        <f t="shared" si="77"/>
        <v>5.3442303052290238E-2</v>
      </c>
      <c r="BL53" s="3"/>
      <c r="BM53" s="4" t="s">
        <v>164</v>
      </c>
      <c r="BO53" s="47">
        <f>((BN39*BO39)+(BN40*BO40))+'Variante Vorgaben'!$B$101+'Variante Vorgaben'!$C$101</f>
        <v>48</v>
      </c>
      <c r="BP53" s="62">
        <f>'Variante Vorgaben'!$C$37</f>
        <v>32.700000000000003</v>
      </c>
      <c r="BQ53" s="43">
        <f t="shared" si="78"/>
        <v>1569.6000000000001</v>
      </c>
      <c r="BR53" s="271">
        <f t="shared" si="79"/>
        <v>5.3437357910508493E-2</v>
      </c>
      <c r="BS53" s="3"/>
      <c r="BT53" s="4" t="s">
        <v>164</v>
      </c>
      <c r="BV53" s="47">
        <f>((BU39*BV39)+(BU40*BV40))+'Variante Vorgaben'!$B$101+'Variante Vorgaben'!$C$101</f>
        <v>48</v>
      </c>
      <c r="BW53" s="62">
        <f>'Variante Vorgaben'!$C$37</f>
        <v>32.700000000000003</v>
      </c>
      <c r="BX53" s="43">
        <f t="shared" si="80"/>
        <v>1569.6000000000001</v>
      </c>
      <c r="BY53" s="271">
        <f t="shared" si="81"/>
        <v>5.3432369189927151E-2</v>
      </c>
      <c r="BZ53" s="3"/>
      <c r="CA53" s="4" t="s">
        <v>164</v>
      </c>
      <c r="CC53" s="47">
        <f>((CB39*CC39)+(CB40*CC40))+'Variante Vorgaben'!$B$101+'Variante Vorgaben'!$C$101</f>
        <v>48</v>
      </c>
      <c r="CD53" s="62">
        <f>'Variante Vorgaben'!$C$37</f>
        <v>32.700000000000003</v>
      </c>
      <c r="CE53" s="43">
        <f t="shared" si="82"/>
        <v>1569.6000000000001</v>
      </c>
      <c r="CF53" s="271">
        <f t="shared" si="83"/>
        <v>5.3427336514842286E-2</v>
      </c>
      <c r="CG53" s="3"/>
      <c r="CH53" s="4" t="s">
        <v>164</v>
      </c>
      <c r="CJ53" s="47">
        <f>((CI39*CJ39)+(CI40*CJ40))+'Variante Vorgaben'!$B$101+'Variante Vorgaben'!$C$101</f>
        <v>48</v>
      </c>
      <c r="CK53" s="62">
        <f>'Variante Vorgaben'!$C$37</f>
        <v>32.700000000000003</v>
      </c>
      <c r="CL53" s="43">
        <f t="shared" si="84"/>
        <v>1569.6000000000001</v>
      </c>
      <c r="CM53" s="271">
        <f t="shared" si="85"/>
        <v>5.3422259506459957E-2</v>
      </c>
      <c r="CN53" s="3"/>
      <c r="CO53" s="4" t="s">
        <v>164</v>
      </c>
      <c r="CQ53" s="47">
        <f>((CP39*CQ39)+(CP40*CQ40))+'Variante Vorgaben'!$B$101+'Variante Vorgaben'!$C$101</f>
        <v>48</v>
      </c>
      <c r="CR53" s="62">
        <f>'Variante Vorgaben'!$C$37</f>
        <v>32.700000000000003</v>
      </c>
      <c r="CS53" s="43">
        <f t="shared" si="86"/>
        <v>1569.6000000000001</v>
      </c>
      <c r="CT53" s="271">
        <f t="shared" si="87"/>
        <v>5.3417137782873492E-2</v>
      </c>
      <c r="CU53" s="3"/>
      <c r="CV53" s="4" t="s">
        <v>164</v>
      </c>
      <c r="CX53" s="47">
        <f>((CW39*CX39)+(CW40*CX40))+'Variante Vorgaben'!$B$101+'Variante Vorgaben'!$C$101</f>
        <v>48</v>
      </c>
      <c r="CY53" s="62">
        <f>'Variante Vorgaben'!$C$37</f>
        <v>32.700000000000003</v>
      </c>
      <c r="CZ53" s="43">
        <f t="shared" si="88"/>
        <v>1569.6000000000001</v>
      </c>
      <c r="DA53" s="271">
        <f t="shared" si="89"/>
        <v>5.3411970959040628E-2</v>
      </c>
      <c r="DB53" s="3"/>
      <c r="DC53" s="4" t="s">
        <v>164</v>
      </c>
      <c r="DE53" s="47">
        <f>((DD39*DE39)+(DD40*DE40))+'Variante Vorgaben'!$B$101+'Variante Vorgaben'!$C$101</f>
        <v>48</v>
      </c>
      <c r="DF53" s="62">
        <f>'Variante Vorgaben'!$C$37</f>
        <v>32.700000000000003</v>
      </c>
      <c r="DG53" s="43">
        <f t="shared" si="90"/>
        <v>1569.6000000000001</v>
      </c>
      <c r="DH53" s="271">
        <f t="shared" si="91"/>
        <v>5.3406758646760533E-2</v>
      </c>
      <c r="DI53" s="3"/>
      <c r="DJ53" s="4" t="s">
        <v>164</v>
      </c>
      <c r="DL53" s="47">
        <f>((DK39*DL39)+(DK40*DL40))+'Variante Vorgaben'!$B$101+'Variante Vorgaben'!$C$101</f>
        <v>48</v>
      </c>
      <c r="DM53" s="62">
        <f>'Variante Vorgaben'!$C$37</f>
        <v>32.700000000000003</v>
      </c>
      <c r="DN53" s="43">
        <f t="shared" si="92"/>
        <v>1569.6000000000001</v>
      </c>
      <c r="DO53" s="271">
        <f t="shared" si="93"/>
        <v>5.3401500454650752E-2</v>
      </c>
      <c r="DP53" s="3"/>
      <c r="DQ53" s="4" t="s">
        <v>164</v>
      </c>
      <c r="DS53" s="47">
        <f>((DR39*DS39)+(DR40*DS40))+'Variante Vorgaben'!$B$101+'Variante Vorgaben'!$C$101</f>
        <v>48</v>
      </c>
      <c r="DT53" s="62">
        <f>'Variante Vorgaben'!$C$37</f>
        <v>32.700000000000003</v>
      </c>
      <c r="DU53" s="43">
        <f t="shared" si="94"/>
        <v>1569.6000000000001</v>
      </c>
      <c r="DV53" s="271">
        <f t="shared" si="95"/>
        <v>5.3396195988123979E-2</v>
      </c>
      <c r="DW53" s="3"/>
      <c r="DX53" s="4" t="s">
        <v>164</v>
      </c>
      <c r="DZ53" s="47">
        <f>((DY39*DZ39)+(DY40*DZ40))+'Variante Vorgaben'!$B$101+'Variante Vorgaben'!$C$101</f>
        <v>48</v>
      </c>
      <c r="EA53" s="62">
        <f>'Variante Vorgaben'!$C$37</f>
        <v>32.700000000000003</v>
      </c>
      <c r="EB53" s="43">
        <f t="shared" si="96"/>
        <v>1569.6000000000001</v>
      </c>
      <c r="EC53" s="271">
        <f t="shared" si="97"/>
        <v>5.3390844849364766E-2</v>
      </c>
      <c r="ED53" s="3"/>
      <c r="EE53" s="4" t="s">
        <v>164</v>
      </c>
      <c r="EG53" s="47">
        <f>((EF39*EG39)+(EF40*EG40))+'Variante Vorgaben'!$B$101+'Variante Vorgaben'!$C$101</f>
        <v>48</v>
      </c>
      <c r="EH53" s="62">
        <f>'Variante Vorgaben'!$C$37</f>
        <v>32.700000000000003</v>
      </c>
      <c r="EI53" s="43">
        <f t="shared" si="98"/>
        <v>1569.6000000000001</v>
      </c>
      <c r="EJ53" s="271">
        <f t="shared" si="99"/>
        <v>4.4337390788724798E-2</v>
      </c>
    </row>
    <row r="54" spans="1:140" s="1" customFormat="1" x14ac:dyDescent="0.2">
      <c r="A54" s="3"/>
      <c r="B54" s="4" t="str">
        <f>'Variante Vorgaben'!$D$99</f>
        <v>Baumerziehung (Sommer+Winter)</v>
      </c>
      <c r="C54" s="46"/>
      <c r="D54" s="47">
        <f>'Variante Vorgaben'!$D$102</f>
        <v>50</v>
      </c>
      <c r="E54" s="62">
        <f>'Variante Vorgaben'!$C$37</f>
        <v>32.700000000000003</v>
      </c>
      <c r="F54" s="43">
        <f t="shared" si="61"/>
        <v>1635.0000000000002</v>
      </c>
      <c r="G54" s="271">
        <f t="shared" si="21"/>
        <v>0.16102231080571119</v>
      </c>
      <c r="H54" s="3"/>
      <c r="I54" s="4" t="str">
        <f>'Variante Vorgaben'!$D$99</f>
        <v>Baumerziehung (Sommer+Winter)</v>
      </c>
      <c r="J54" s="46"/>
      <c r="K54" s="47">
        <f>'Variante Vorgaben'!$D$102</f>
        <v>50</v>
      </c>
      <c r="L54" s="62">
        <f>'Variante Vorgaben'!$C$37</f>
        <v>32.700000000000003</v>
      </c>
      <c r="M54" s="43">
        <f t="shared" si="62"/>
        <v>1635.0000000000002</v>
      </c>
      <c r="N54" s="271">
        <f t="shared" si="63"/>
        <v>0.13138217139247718</v>
      </c>
      <c r="O54" s="3"/>
      <c r="P54" s="4" t="str">
        <f>'Variante Vorgaben'!$D$99</f>
        <v>Baumerziehung (Sommer+Winter)</v>
      </c>
      <c r="Q54" s="46"/>
      <c r="R54" s="47">
        <f>'Variante Vorgaben'!$D$101</f>
        <v>160</v>
      </c>
      <c r="S54" s="62">
        <f>'Variante Vorgaben'!$C$37</f>
        <v>32.700000000000003</v>
      </c>
      <c r="T54" s="43">
        <f t="shared" si="64"/>
        <v>5232</v>
      </c>
      <c r="U54" s="271">
        <f t="shared" si="65"/>
        <v>0.28518049481272773</v>
      </c>
      <c r="V54" s="3"/>
      <c r="W54" s="4" t="str">
        <f>'Variante Vorgaben'!$D$99</f>
        <v>Baumerziehung (Sommer+Winter)</v>
      </c>
      <c r="X54" s="46"/>
      <c r="Y54" s="47">
        <f>'Variante Vorgaben'!$D$101</f>
        <v>160</v>
      </c>
      <c r="Z54" s="62">
        <f>'Variante Vorgaben'!$C$37</f>
        <v>32.700000000000003</v>
      </c>
      <c r="AA54" s="43">
        <f t="shared" si="66"/>
        <v>5232</v>
      </c>
      <c r="AB54" s="271">
        <f t="shared" si="67"/>
        <v>0.25715945899551867</v>
      </c>
      <c r="AC54" s="3"/>
      <c r="AD54" s="4" t="str">
        <f>'Variante Vorgaben'!$D$99</f>
        <v>Baumerziehung (Sommer+Winter)</v>
      </c>
      <c r="AE54" s="46"/>
      <c r="AF54" s="47">
        <f>'Variante Vorgaben'!$D$101</f>
        <v>160</v>
      </c>
      <c r="AG54" s="62">
        <f>'Variante Vorgaben'!$C$37</f>
        <v>32.700000000000003</v>
      </c>
      <c r="AH54" s="43">
        <f t="shared" si="68"/>
        <v>5232</v>
      </c>
      <c r="AI54" s="271">
        <f t="shared" si="69"/>
        <v>0.19681968333021649</v>
      </c>
      <c r="AJ54" s="3"/>
      <c r="AK54" s="4" t="str">
        <f>'Variante Vorgaben'!$D$99</f>
        <v>Baumerziehung (Sommer+Winter)</v>
      </c>
      <c r="AL54" s="46"/>
      <c r="AM54" s="47">
        <f>'Variante Vorgaben'!$D$101</f>
        <v>160</v>
      </c>
      <c r="AN54" s="62">
        <f>'Variante Vorgaben'!$C$37</f>
        <v>32.700000000000003</v>
      </c>
      <c r="AO54" s="43">
        <f t="shared" si="70"/>
        <v>5232</v>
      </c>
      <c r="AP54" s="271">
        <f t="shared" si="71"/>
        <v>0.17818960238667064</v>
      </c>
      <c r="AQ54" s="3"/>
      <c r="AR54" s="4" t="str">
        <f>'Variante Vorgaben'!$D$99</f>
        <v>Baumerziehung (Sommer+Winter)</v>
      </c>
      <c r="AS54" s="46"/>
      <c r="AT54" s="47">
        <f>'Variante Vorgaben'!$D$101</f>
        <v>160</v>
      </c>
      <c r="AU54" s="62">
        <f>'Variante Vorgaben'!$C$37</f>
        <v>32.700000000000003</v>
      </c>
      <c r="AV54" s="43">
        <f t="shared" si="72"/>
        <v>5232</v>
      </c>
      <c r="AW54" s="271">
        <f t="shared" si="73"/>
        <v>0.17817354695652066</v>
      </c>
      <c r="AX54" s="3"/>
      <c r="AY54" s="4" t="str">
        <f>'Variante Vorgaben'!$D$99</f>
        <v>Baumerziehung (Sommer+Winter)</v>
      </c>
      <c r="AZ54" s="46"/>
      <c r="BA54" s="47">
        <f>'Variante Vorgaben'!$D$101</f>
        <v>160</v>
      </c>
      <c r="BB54" s="62">
        <f>'Variante Vorgaben'!$C$37</f>
        <v>32.700000000000003</v>
      </c>
      <c r="BC54" s="43">
        <f t="shared" si="74"/>
        <v>5232</v>
      </c>
      <c r="BD54" s="271">
        <f t="shared" si="75"/>
        <v>0.1781573499596964</v>
      </c>
      <c r="BE54" s="3"/>
      <c r="BF54" s="4" t="str">
        <f>'Variante Vorgaben'!$D$99</f>
        <v>Baumerziehung (Sommer+Winter)</v>
      </c>
      <c r="BG54" s="46"/>
      <c r="BH54" s="47">
        <f>'Variante Vorgaben'!$D$101</f>
        <v>160</v>
      </c>
      <c r="BI54" s="62">
        <f>'Variante Vorgaben'!$C$37</f>
        <v>32.700000000000003</v>
      </c>
      <c r="BJ54" s="43">
        <f t="shared" si="76"/>
        <v>5232</v>
      </c>
      <c r="BK54" s="271">
        <f t="shared" si="77"/>
        <v>0.17814101017430078</v>
      </c>
      <c r="BL54" s="3"/>
      <c r="BM54" s="4" t="str">
        <f>'Variante Vorgaben'!$D$99</f>
        <v>Baumerziehung (Sommer+Winter)</v>
      </c>
      <c r="BN54" s="46"/>
      <c r="BO54" s="47">
        <f>'Variante Vorgaben'!$D$101</f>
        <v>160</v>
      </c>
      <c r="BP54" s="62">
        <f>'Variante Vorgaben'!$C$37</f>
        <v>32.700000000000003</v>
      </c>
      <c r="BQ54" s="43">
        <f t="shared" si="78"/>
        <v>5232</v>
      </c>
      <c r="BR54" s="271">
        <f t="shared" si="79"/>
        <v>0.17812452636836162</v>
      </c>
      <c r="BS54" s="3"/>
      <c r="BT54" s="4" t="str">
        <f>'Variante Vorgaben'!$D$99</f>
        <v>Baumerziehung (Sommer+Winter)</v>
      </c>
      <c r="BU54" s="46"/>
      <c r="BV54" s="47">
        <f>'Variante Vorgaben'!$D$101</f>
        <v>160</v>
      </c>
      <c r="BW54" s="62">
        <f>'Variante Vorgaben'!$C$37</f>
        <v>32.700000000000003</v>
      </c>
      <c r="BX54" s="43">
        <f t="shared" si="80"/>
        <v>5232</v>
      </c>
      <c r="BY54" s="271">
        <f t="shared" si="81"/>
        <v>0.17810789729975715</v>
      </c>
      <c r="BZ54" s="3"/>
      <c r="CA54" s="4" t="str">
        <f>'Variante Vorgaben'!$D$99</f>
        <v>Baumerziehung (Sommer+Winter)</v>
      </c>
      <c r="CB54" s="46"/>
      <c r="CC54" s="47">
        <f>'Variante Vorgaben'!$D$101</f>
        <v>160</v>
      </c>
      <c r="CD54" s="62">
        <f>'Variante Vorgaben'!$C$37</f>
        <v>32.700000000000003</v>
      </c>
      <c r="CE54" s="43">
        <f t="shared" si="82"/>
        <v>5232</v>
      </c>
      <c r="CF54" s="271">
        <f t="shared" si="83"/>
        <v>0.17809112171614094</v>
      </c>
      <c r="CG54" s="3"/>
      <c r="CH54" s="4" t="str">
        <f>'Variante Vorgaben'!$D$99</f>
        <v>Baumerziehung (Sommer+Winter)</v>
      </c>
      <c r="CI54" s="46"/>
      <c r="CJ54" s="47">
        <f>'Variante Vorgaben'!$D$101</f>
        <v>160</v>
      </c>
      <c r="CK54" s="62">
        <f>'Variante Vorgaben'!$C$37</f>
        <v>32.700000000000003</v>
      </c>
      <c r="CL54" s="43">
        <f t="shared" si="84"/>
        <v>5232</v>
      </c>
      <c r="CM54" s="271">
        <f t="shared" si="85"/>
        <v>0.17807419835486651</v>
      </c>
      <c r="CN54" s="3"/>
      <c r="CO54" s="4" t="str">
        <f>'Variante Vorgaben'!$D$99</f>
        <v>Baumerziehung (Sommer+Winter)</v>
      </c>
      <c r="CP54" s="46"/>
      <c r="CQ54" s="47">
        <f>'Variante Vorgaben'!$D$101</f>
        <v>160</v>
      </c>
      <c r="CR54" s="62">
        <f>'Variante Vorgaben'!$C$37</f>
        <v>32.700000000000003</v>
      </c>
      <c r="CS54" s="43">
        <f t="shared" si="86"/>
        <v>5232</v>
      </c>
      <c r="CT54" s="271">
        <f t="shared" si="87"/>
        <v>0.17805712594291162</v>
      </c>
      <c r="CU54" s="3"/>
      <c r="CV54" s="4" t="str">
        <f>'Variante Vorgaben'!$D$99</f>
        <v>Baumerziehung (Sommer+Winter)</v>
      </c>
      <c r="CW54" s="46"/>
      <c r="CX54" s="47">
        <f>'Variante Vorgaben'!$D$101</f>
        <v>160</v>
      </c>
      <c r="CY54" s="62">
        <f>'Variante Vorgaben'!$C$37</f>
        <v>32.700000000000003</v>
      </c>
      <c r="CZ54" s="43">
        <f t="shared" si="88"/>
        <v>5232</v>
      </c>
      <c r="DA54" s="271">
        <f t="shared" si="89"/>
        <v>0.17803990319680207</v>
      </c>
      <c r="DB54" s="3"/>
      <c r="DC54" s="4" t="str">
        <f>'Variante Vorgaben'!$D$99</f>
        <v>Baumerziehung (Sommer+Winter)</v>
      </c>
      <c r="DD54" s="46"/>
      <c r="DE54" s="47">
        <f>'Variante Vorgaben'!$D$101</f>
        <v>160</v>
      </c>
      <c r="DF54" s="62">
        <f>'Variante Vorgaben'!$C$37</f>
        <v>32.700000000000003</v>
      </c>
      <c r="DG54" s="43">
        <f t="shared" si="90"/>
        <v>5232</v>
      </c>
      <c r="DH54" s="271">
        <f t="shared" si="91"/>
        <v>0.17802252882253508</v>
      </c>
      <c r="DI54" s="3"/>
      <c r="DJ54" s="4" t="str">
        <f>'Variante Vorgaben'!$D$99</f>
        <v>Baumerziehung (Sommer+Winter)</v>
      </c>
      <c r="DK54" s="46"/>
      <c r="DL54" s="47">
        <f>'Variante Vorgaben'!$D$101</f>
        <v>160</v>
      </c>
      <c r="DM54" s="62">
        <f>'Variante Vorgaben'!$C$37</f>
        <v>32.700000000000003</v>
      </c>
      <c r="DN54" s="43">
        <f t="shared" si="92"/>
        <v>5232</v>
      </c>
      <c r="DO54" s="271">
        <f t="shared" si="93"/>
        <v>0.1780050015155025</v>
      </c>
      <c r="DP54" s="3"/>
      <c r="DQ54" s="4" t="str">
        <f>'Variante Vorgaben'!$D$99</f>
        <v>Baumerziehung (Sommer+Winter)</v>
      </c>
      <c r="DR54" s="46"/>
      <c r="DS54" s="47">
        <f>'Variante Vorgaben'!$D$101</f>
        <v>160</v>
      </c>
      <c r="DT54" s="62">
        <f>'Variante Vorgaben'!$C$37</f>
        <v>32.700000000000003</v>
      </c>
      <c r="DU54" s="43">
        <f t="shared" si="94"/>
        <v>5232</v>
      </c>
      <c r="DV54" s="271">
        <f t="shared" si="95"/>
        <v>0.17798731996041325</v>
      </c>
      <c r="DW54" s="3"/>
      <c r="DX54" s="4" t="str">
        <f>'Variante Vorgaben'!$D$99</f>
        <v>Baumerziehung (Sommer+Winter)</v>
      </c>
      <c r="DY54" s="46"/>
      <c r="DZ54" s="47">
        <f>'Variante Vorgaben'!$D$101</f>
        <v>160</v>
      </c>
      <c r="EA54" s="62">
        <f>'Variante Vorgaben'!$C$37</f>
        <v>32.700000000000003</v>
      </c>
      <c r="EB54" s="43">
        <f t="shared" si="96"/>
        <v>5232</v>
      </c>
      <c r="EC54" s="271">
        <f t="shared" si="97"/>
        <v>0.17796948283121586</v>
      </c>
      <c r="ED54" s="3"/>
      <c r="EE54" s="4" t="str">
        <f>'Variante Vorgaben'!$D$99</f>
        <v>Baumerziehung (Sommer+Winter)</v>
      </c>
      <c r="EF54" s="46"/>
      <c r="EG54" s="47">
        <f>'Variante Vorgaben'!$D$101</f>
        <v>160</v>
      </c>
      <c r="EH54" s="62">
        <f>'Variante Vorgaben'!$C$37</f>
        <v>32.700000000000003</v>
      </c>
      <c r="EI54" s="43">
        <f t="shared" si="98"/>
        <v>5232</v>
      </c>
      <c r="EJ54" s="271">
        <f t="shared" si="99"/>
        <v>0.14779130262908266</v>
      </c>
    </row>
    <row r="55" spans="1:140" s="99" customFormat="1" x14ac:dyDescent="0.2">
      <c r="A55" s="106"/>
      <c r="B55" s="99" t="s">
        <v>100</v>
      </c>
      <c r="C55" s="501"/>
      <c r="D55" s="503">
        <f>(C44*D44)+(C45*D45)</f>
        <v>7</v>
      </c>
      <c r="E55" s="213">
        <f>'Variante Vorgaben'!$C$37</f>
        <v>32.700000000000003</v>
      </c>
      <c r="F55" s="120">
        <f t="shared" si="61"/>
        <v>228.90000000000003</v>
      </c>
      <c r="G55" s="271">
        <f t="shared" si="21"/>
        <v>2.2543123512799568E-2</v>
      </c>
      <c r="H55" s="501"/>
      <c r="I55" s="99" t="s">
        <v>100</v>
      </c>
      <c r="J55" s="501"/>
      <c r="K55" s="503">
        <f>(J44*K44)+(J45*K45)</f>
        <v>7</v>
      </c>
      <c r="L55" s="213">
        <f>'Variante Vorgaben'!$C$37</f>
        <v>32.700000000000003</v>
      </c>
      <c r="M55" s="120">
        <f t="shared" si="62"/>
        <v>228.90000000000003</v>
      </c>
      <c r="N55" s="613">
        <f t="shared" si="63"/>
        <v>1.8393503994946804E-2</v>
      </c>
      <c r="O55" s="106"/>
      <c r="P55" s="99" t="s">
        <v>100</v>
      </c>
      <c r="Q55" s="501"/>
      <c r="R55" s="503">
        <f>(Q44*R44)+(Q45*R45)</f>
        <v>7</v>
      </c>
      <c r="S55" s="213">
        <f>'Variante Vorgaben'!$C$37</f>
        <v>32.700000000000003</v>
      </c>
      <c r="T55" s="120">
        <f t="shared" si="64"/>
        <v>228.90000000000003</v>
      </c>
      <c r="U55" s="613">
        <f t="shared" si="65"/>
        <v>1.247664664805684E-2</v>
      </c>
      <c r="V55" s="106"/>
      <c r="W55" s="99" t="s">
        <v>100</v>
      </c>
      <c r="X55" s="501"/>
      <c r="Y55" s="503">
        <f>(X44*Y44)+(X45*Y45)</f>
        <v>9</v>
      </c>
      <c r="Z55" s="213">
        <f>'Variante Vorgaben'!$C$37</f>
        <v>32.700000000000003</v>
      </c>
      <c r="AA55" s="120">
        <f t="shared" si="66"/>
        <v>294.3</v>
      </c>
      <c r="AB55" s="613">
        <f t="shared" si="67"/>
        <v>1.4465219568497927E-2</v>
      </c>
      <c r="AC55" s="106"/>
      <c r="AD55" s="99" t="s">
        <v>100</v>
      </c>
      <c r="AE55" s="501"/>
      <c r="AF55" s="503">
        <f>(AE44*AF44)+(AE45*AF45)</f>
        <v>9</v>
      </c>
      <c r="AG55" s="213">
        <f>'Variante Vorgaben'!$C$37</f>
        <v>32.700000000000003</v>
      </c>
      <c r="AH55" s="120">
        <f t="shared" si="68"/>
        <v>294.3</v>
      </c>
      <c r="AI55" s="613">
        <f t="shared" si="69"/>
        <v>1.1071107187324677E-2</v>
      </c>
      <c r="AJ55" s="106"/>
      <c r="AK55" s="99" t="s">
        <v>100</v>
      </c>
      <c r="AL55" s="501"/>
      <c r="AM55" s="503">
        <f>(AL44*AM44)+(AL45*AM45)</f>
        <v>9</v>
      </c>
      <c r="AN55" s="213">
        <f>'Variante Vorgaben'!$C$37</f>
        <v>32.700000000000003</v>
      </c>
      <c r="AO55" s="120">
        <f t="shared" si="70"/>
        <v>294.3</v>
      </c>
      <c r="AP55" s="613">
        <f t="shared" si="71"/>
        <v>1.0023165134250224E-2</v>
      </c>
      <c r="AQ55" s="106"/>
      <c r="AR55" s="99" t="s">
        <v>100</v>
      </c>
      <c r="AS55" s="501"/>
      <c r="AT55" s="503">
        <f>(AS44*AT44)+(AS45*AT45)</f>
        <v>9</v>
      </c>
      <c r="AU55" s="213">
        <f>'Variante Vorgaben'!$C$37</f>
        <v>32.700000000000003</v>
      </c>
      <c r="AV55" s="120">
        <f t="shared" si="72"/>
        <v>294.3</v>
      </c>
      <c r="AW55" s="613">
        <f t="shared" si="73"/>
        <v>1.0022262016304287E-2</v>
      </c>
      <c r="AX55" s="106"/>
      <c r="AY55" s="99" t="s">
        <v>100</v>
      </c>
      <c r="AZ55" s="501"/>
      <c r="BA55" s="503">
        <f>(AZ44*BA44)+(AZ45*BA45)</f>
        <v>9</v>
      </c>
      <c r="BB55" s="213">
        <f>'Variante Vorgaben'!$C$37</f>
        <v>32.700000000000003</v>
      </c>
      <c r="BC55" s="120">
        <f t="shared" si="74"/>
        <v>294.3</v>
      </c>
      <c r="BD55" s="613">
        <f t="shared" si="75"/>
        <v>1.0021350935232922E-2</v>
      </c>
      <c r="BE55" s="106"/>
      <c r="BF55" s="99" t="s">
        <v>100</v>
      </c>
      <c r="BG55" s="501"/>
      <c r="BH55" s="503">
        <f>(BG44*BH44)+(BG45*BH45)</f>
        <v>9</v>
      </c>
      <c r="BI55" s="213">
        <f>'Variante Vorgaben'!$C$37</f>
        <v>32.700000000000003</v>
      </c>
      <c r="BJ55" s="120">
        <f t="shared" si="76"/>
        <v>294.3</v>
      </c>
      <c r="BK55" s="613">
        <f t="shared" si="77"/>
        <v>1.0020431822304419E-2</v>
      </c>
      <c r="BL55" s="106"/>
      <c r="BM55" s="99" t="s">
        <v>100</v>
      </c>
      <c r="BN55" s="501"/>
      <c r="BO55" s="503">
        <f>(BN44*BO44)+(BN45*BO45)</f>
        <v>9</v>
      </c>
      <c r="BP55" s="213">
        <f>'Variante Vorgaben'!$C$37</f>
        <v>32.700000000000003</v>
      </c>
      <c r="BQ55" s="120">
        <f t="shared" si="78"/>
        <v>294.3</v>
      </c>
      <c r="BR55" s="613">
        <f t="shared" si="79"/>
        <v>1.0019504608220342E-2</v>
      </c>
      <c r="BS55" s="106"/>
      <c r="BT55" s="99" t="s">
        <v>100</v>
      </c>
      <c r="BU55" s="501"/>
      <c r="BV55" s="503">
        <f>(BU44*BV44)+(BU45*BV45)</f>
        <v>9</v>
      </c>
      <c r="BW55" s="213">
        <f>'Variante Vorgaben'!$C$37</f>
        <v>32.700000000000003</v>
      </c>
      <c r="BX55" s="120">
        <f t="shared" si="80"/>
        <v>294.3</v>
      </c>
      <c r="BY55" s="613">
        <f t="shared" si="81"/>
        <v>1.001856922311134E-2</v>
      </c>
      <c r="BZ55" s="106"/>
      <c r="CA55" s="99" t="s">
        <v>100</v>
      </c>
      <c r="CB55" s="501"/>
      <c r="CC55" s="503">
        <f>(CB44*CC44)+(CB45*CC45)</f>
        <v>9</v>
      </c>
      <c r="CD55" s="213">
        <f>'Variante Vorgaben'!$C$37</f>
        <v>32.700000000000003</v>
      </c>
      <c r="CE55" s="120">
        <f t="shared" si="82"/>
        <v>294.3</v>
      </c>
      <c r="CF55" s="613">
        <f t="shared" si="83"/>
        <v>1.0017625596532928E-2</v>
      </c>
      <c r="CG55" s="106"/>
      <c r="CH55" s="99" t="s">
        <v>100</v>
      </c>
      <c r="CI55" s="501"/>
      <c r="CJ55" s="503">
        <f>(CI44*CJ44)+(CI45*CJ45)</f>
        <v>9</v>
      </c>
      <c r="CK55" s="213">
        <f>'Variante Vorgaben'!$C$37</f>
        <v>32.700000000000003</v>
      </c>
      <c r="CL55" s="120">
        <f t="shared" si="84"/>
        <v>294.3</v>
      </c>
      <c r="CM55" s="613">
        <f t="shared" si="85"/>
        <v>1.0016673657461242E-2</v>
      </c>
      <c r="CN55" s="106"/>
      <c r="CO55" s="99" t="s">
        <v>100</v>
      </c>
      <c r="CP55" s="501"/>
      <c r="CQ55" s="503">
        <f>(CP44*CQ44)+(CP45*CQ45)</f>
        <v>9</v>
      </c>
      <c r="CR55" s="213">
        <f>'Variante Vorgaben'!$C$37</f>
        <v>32.700000000000003</v>
      </c>
      <c r="CS55" s="120">
        <f t="shared" si="86"/>
        <v>294.3</v>
      </c>
      <c r="CT55" s="613">
        <f t="shared" si="87"/>
        <v>1.001571333428878E-2</v>
      </c>
      <c r="CU55" s="106"/>
      <c r="CV55" s="99" t="s">
        <v>100</v>
      </c>
      <c r="CW55" s="501"/>
      <c r="CX55" s="503">
        <f>(CW44*CX44)+(CW45*CX45)</f>
        <v>9</v>
      </c>
      <c r="CY55" s="213">
        <f>'Variante Vorgaben'!$C$37</f>
        <v>32.700000000000003</v>
      </c>
      <c r="CZ55" s="120">
        <f t="shared" si="88"/>
        <v>294.3</v>
      </c>
      <c r="DA55" s="613">
        <f t="shared" si="89"/>
        <v>1.0014744554820116E-2</v>
      </c>
      <c r="DB55" s="106"/>
      <c r="DC55" s="99" t="s">
        <v>100</v>
      </c>
      <c r="DD55" s="501"/>
      <c r="DE55" s="503">
        <f>(DD44*DE44)+(DD45*DE45)</f>
        <v>9</v>
      </c>
      <c r="DF55" s="213">
        <f>'Variante Vorgaben'!$C$37</f>
        <v>32.700000000000003</v>
      </c>
      <c r="DG55" s="120">
        <f t="shared" si="90"/>
        <v>294.3</v>
      </c>
      <c r="DH55" s="613">
        <f t="shared" si="91"/>
        <v>1.0013767246267598E-2</v>
      </c>
      <c r="DI55" s="106"/>
      <c r="DJ55" s="99" t="s">
        <v>100</v>
      </c>
      <c r="DK55" s="501"/>
      <c r="DL55" s="503">
        <f>(DK44*DL44)+(DK45*DL45)</f>
        <v>9</v>
      </c>
      <c r="DM55" s="213">
        <f>'Variante Vorgaben'!$C$37</f>
        <v>32.700000000000003</v>
      </c>
      <c r="DN55" s="120">
        <f t="shared" si="92"/>
        <v>294.3</v>
      </c>
      <c r="DO55" s="613">
        <f t="shared" si="93"/>
        <v>1.0012781335247016E-2</v>
      </c>
      <c r="DP55" s="106"/>
      <c r="DQ55" s="99" t="s">
        <v>100</v>
      </c>
      <c r="DR55" s="501"/>
      <c r="DS55" s="503">
        <f>(DR44*DS44)+(DR45*DS45)</f>
        <v>9</v>
      </c>
      <c r="DT55" s="213">
        <f>'Variante Vorgaben'!$C$37</f>
        <v>32.700000000000003</v>
      </c>
      <c r="DU55" s="120">
        <f t="shared" si="94"/>
        <v>294.3</v>
      </c>
      <c r="DV55" s="613">
        <f t="shared" si="95"/>
        <v>1.0011786747773246E-2</v>
      </c>
      <c r="DW55" s="106"/>
      <c r="DX55" s="99" t="s">
        <v>100</v>
      </c>
      <c r="DY55" s="501"/>
      <c r="DZ55" s="503">
        <f>(DY44*DZ44)+(DY45*DZ45)</f>
        <v>9</v>
      </c>
      <c r="EA55" s="213">
        <f>'Variante Vorgaben'!$C$37</f>
        <v>32.700000000000003</v>
      </c>
      <c r="EB55" s="120">
        <f t="shared" si="96"/>
        <v>294.3</v>
      </c>
      <c r="EC55" s="613">
        <f t="shared" si="97"/>
        <v>1.0010783409255894E-2</v>
      </c>
      <c r="ED55" s="106"/>
      <c r="EE55" s="99" t="s">
        <v>100</v>
      </c>
      <c r="EF55" s="501"/>
      <c r="EG55" s="503">
        <f>(EF44*EG44)+(EF45*EG45)</f>
        <v>9</v>
      </c>
      <c r="EH55" s="213">
        <f>'Variante Vorgaben'!$C$37</f>
        <v>32.700000000000003</v>
      </c>
      <c r="EI55" s="120">
        <f t="shared" si="98"/>
        <v>294.3</v>
      </c>
      <c r="EJ55" s="613">
        <f t="shared" si="99"/>
        <v>8.3132607728858988E-3</v>
      </c>
    </row>
    <row r="56" spans="1:140" s="1" customFormat="1" x14ac:dyDescent="0.2">
      <c r="A56" s="3"/>
      <c r="B56" s="4" t="str">
        <f>'Variante Vorgaben'!$E$99</f>
        <v>Behangsregulierung (von Hand)</v>
      </c>
      <c r="D56" s="47">
        <f>'Variante Vorgaben'!E102</f>
        <v>0</v>
      </c>
      <c r="E56" s="62">
        <f>'Variante Vorgaben'!$C$36</f>
        <v>23.18</v>
      </c>
      <c r="F56" s="43">
        <f t="shared" si="61"/>
        <v>0</v>
      </c>
      <c r="G56" s="271">
        <f t="shared" si="21"/>
        <v>0</v>
      </c>
      <c r="H56" s="3"/>
      <c r="I56" s="4" t="str">
        <f>'Variante Vorgaben'!$E$99</f>
        <v>Behangsregulierung (von Hand)</v>
      </c>
      <c r="K56" s="47">
        <f>'Variante Vorgaben'!E103</f>
        <v>20</v>
      </c>
      <c r="L56" s="62">
        <f>'Variante Vorgaben'!$C$36</f>
        <v>23.18</v>
      </c>
      <c r="M56" s="43">
        <f t="shared" si="62"/>
        <v>463.6</v>
      </c>
      <c r="N56" s="271">
        <f t="shared" si="63"/>
        <v>3.7253073185047343E-2</v>
      </c>
      <c r="O56" s="3"/>
      <c r="P56" s="4" t="str">
        <f>'Variante Vorgaben'!$E$99</f>
        <v>Behangsregulierung (von Hand)</v>
      </c>
      <c r="R56" s="47">
        <f>'Variante Vorgaben'!$E$101</f>
        <v>40</v>
      </c>
      <c r="S56" s="62">
        <f>'Variante Vorgaben'!$C$36</f>
        <v>23.18</v>
      </c>
      <c r="T56" s="43">
        <f t="shared" si="64"/>
        <v>927.2</v>
      </c>
      <c r="U56" s="271">
        <f t="shared" si="65"/>
        <v>5.0538867505802977E-2</v>
      </c>
      <c r="V56" s="3"/>
      <c r="W56" s="4" t="str">
        <f>'Variante Vorgaben'!$E$99</f>
        <v>Behangsregulierung (von Hand)</v>
      </c>
      <c r="Y56" s="47">
        <f>'Variante Vorgaben'!$E$101</f>
        <v>40</v>
      </c>
      <c r="Z56" s="62">
        <f>'Variante Vorgaben'!$C$36</f>
        <v>23.18</v>
      </c>
      <c r="AA56" s="43">
        <f t="shared" si="66"/>
        <v>927.2</v>
      </c>
      <c r="AB56" s="271">
        <f t="shared" si="67"/>
        <v>4.5573060088043758E-2</v>
      </c>
      <c r="AC56" s="3"/>
      <c r="AD56" s="4" t="str">
        <f>'Variante Vorgaben'!$E$99</f>
        <v>Behangsregulierung (von Hand)</v>
      </c>
      <c r="AF56" s="47">
        <f>'Variante Vorgaben'!$E$101</f>
        <v>40</v>
      </c>
      <c r="AG56" s="62">
        <f>'Variante Vorgaben'!$C$36</f>
        <v>23.18</v>
      </c>
      <c r="AH56" s="43">
        <f t="shared" si="68"/>
        <v>927.2</v>
      </c>
      <c r="AI56" s="271">
        <f t="shared" si="69"/>
        <v>3.4879818498428271E-2</v>
      </c>
      <c r="AJ56" s="3"/>
      <c r="AK56" s="4" t="str">
        <f>'Variante Vorgaben'!$E$99</f>
        <v>Behangsregulierung (von Hand)</v>
      </c>
      <c r="AM56" s="47">
        <f>'Variante Vorgaben'!$E$101</f>
        <v>40</v>
      </c>
      <c r="AN56" s="62">
        <f>'Variante Vorgaben'!$C$36</f>
        <v>23.18</v>
      </c>
      <c r="AO56" s="43">
        <f t="shared" si="70"/>
        <v>927.2</v>
      </c>
      <c r="AP56" s="271">
        <f t="shared" si="71"/>
        <v>3.1578249107974202E-2</v>
      </c>
      <c r="AQ56" s="3"/>
      <c r="AR56" s="4" t="str">
        <f>'Variante Vorgaben'!$E$99</f>
        <v>Behangsregulierung (von Hand)</v>
      </c>
      <c r="AT56" s="47">
        <f>'Variante Vorgaben'!$E$101</f>
        <v>40</v>
      </c>
      <c r="AU56" s="62">
        <f>'Variante Vorgaben'!$C$36</f>
        <v>23.18</v>
      </c>
      <c r="AV56" s="43">
        <f t="shared" si="72"/>
        <v>927.2</v>
      </c>
      <c r="AW56" s="271">
        <f t="shared" si="73"/>
        <v>3.1575403810796245E-2</v>
      </c>
      <c r="AX56" s="3"/>
      <c r="AY56" s="4" t="str">
        <f>'Variante Vorgaben'!$E$99</f>
        <v>Behangsregulierung (von Hand)</v>
      </c>
      <c r="BA56" s="47">
        <f>'Variante Vorgaben'!$E$101</f>
        <v>40</v>
      </c>
      <c r="BB56" s="62">
        <f>'Variante Vorgaben'!$C$36</f>
        <v>23.18</v>
      </c>
      <c r="BC56" s="43">
        <f t="shared" si="74"/>
        <v>927.2</v>
      </c>
      <c r="BD56" s="271">
        <f t="shared" si="75"/>
        <v>3.1572533425579224E-2</v>
      </c>
      <c r="BE56" s="3"/>
      <c r="BF56" s="4" t="str">
        <f>'Variante Vorgaben'!$E$99</f>
        <v>Behangsregulierung (von Hand)</v>
      </c>
      <c r="BH56" s="47">
        <f>'Variante Vorgaben'!$E$101</f>
        <v>40</v>
      </c>
      <c r="BI56" s="62">
        <f>'Variante Vorgaben'!$C$36</f>
        <v>23.18</v>
      </c>
      <c r="BJ56" s="43">
        <f t="shared" si="76"/>
        <v>927.2</v>
      </c>
      <c r="BK56" s="271">
        <f t="shared" si="77"/>
        <v>3.1569637735782051E-2</v>
      </c>
      <c r="BL56" s="3"/>
      <c r="BM56" s="4" t="str">
        <f>'Variante Vorgaben'!$E$99</f>
        <v>Behangsregulierung (von Hand)</v>
      </c>
      <c r="BO56" s="47">
        <f>'Variante Vorgaben'!$E$101</f>
        <v>40</v>
      </c>
      <c r="BP56" s="62">
        <f>'Variante Vorgaben'!$C$36</f>
        <v>23.18</v>
      </c>
      <c r="BQ56" s="43">
        <f t="shared" si="78"/>
        <v>927.2</v>
      </c>
      <c r="BR56" s="271">
        <f t="shared" si="79"/>
        <v>3.1566716523078152E-2</v>
      </c>
      <c r="BS56" s="3"/>
      <c r="BT56" s="4" t="str">
        <f>'Variante Vorgaben'!$E$99</f>
        <v>Behangsregulierung (von Hand)</v>
      </c>
      <c r="BV56" s="47">
        <f>'Variante Vorgaben'!$E$101</f>
        <v>40</v>
      </c>
      <c r="BW56" s="62">
        <f>'Variante Vorgaben'!$C$36</f>
        <v>23.18</v>
      </c>
      <c r="BX56" s="43">
        <f t="shared" si="80"/>
        <v>927.2</v>
      </c>
      <c r="BY56" s="271">
        <f t="shared" si="81"/>
        <v>3.156376956734229E-2</v>
      </c>
      <c r="BZ56" s="3"/>
      <c r="CA56" s="4" t="str">
        <f>'Variante Vorgaben'!$E$99</f>
        <v>Behangsregulierung (von Hand)</v>
      </c>
      <c r="CC56" s="47">
        <f>'Variante Vorgaben'!$E$101</f>
        <v>40</v>
      </c>
      <c r="CD56" s="62">
        <f>'Variante Vorgaben'!$C$36</f>
        <v>23.18</v>
      </c>
      <c r="CE56" s="43">
        <f t="shared" si="82"/>
        <v>927.2</v>
      </c>
      <c r="CF56" s="271">
        <f t="shared" si="83"/>
        <v>3.1560796646637211E-2</v>
      </c>
      <c r="CG56" s="3"/>
      <c r="CH56" s="4" t="str">
        <f>'Variante Vorgaben'!$E$99</f>
        <v>Behangsregulierung (von Hand)</v>
      </c>
      <c r="CJ56" s="47">
        <f>'Variante Vorgaben'!$E$101</f>
        <v>40</v>
      </c>
      <c r="CK56" s="62">
        <f>'Variante Vorgaben'!$C$36</f>
        <v>23.18</v>
      </c>
      <c r="CL56" s="43">
        <f t="shared" si="84"/>
        <v>927.2</v>
      </c>
      <c r="CM56" s="271">
        <f t="shared" si="85"/>
        <v>3.1557797537200352E-2</v>
      </c>
      <c r="CN56" s="3"/>
      <c r="CO56" s="4" t="str">
        <f>'Variante Vorgaben'!$E$99</f>
        <v>Behangsregulierung (von Hand)</v>
      </c>
      <c r="CQ56" s="47">
        <f>'Variante Vorgaben'!$E$101</f>
        <v>40</v>
      </c>
      <c r="CR56" s="62">
        <f>'Variante Vorgaben'!$C$36</f>
        <v>23.18</v>
      </c>
      <c r="CS56" s="43">
        <f t="shared" si="86"/>
        <v>927.2</v>
      </c>
      <c r="CT56" s="271">
        <f t="shared" si="87"/>
        <v>3.1554772013430363E-2</v>
      </c>
      <c r="CU56" s="3"/>
      <c r="CV56" s="4" t="str">
        <f>'Variante Vorgaben'!$E$99</f>
        <v>Behangsregulierung (von Hand)</v>
      </c>
      <c r="CX56" s="47">
        <f>'Variante Vorgaben'!$E$101</f>
        <v>40</v>
      </c>
      <c r="CY56" s="62">
        <f>'Variante Vorgaben'!$C$36</f>
        <v>23.18</v>
      </c>
      <c r="CZ56" s="43">
        <f t="shared" si="88"/>
        <v>927.2</v>
      </c>
      <c r="DA56" s="271">
        <f t="shared" si="89"/>
        <v>3.1551719847873638E-2</v>
      </c>
      <c r="DB56" s="3"/>
      <c r="DC56" s="4" t="str">
        <f>'Variante Vorgaben'!$E$99</f>
        <v>Behangsregulierung (von Hand)</v>
      </c>
      <c r="DE56" s="47">
        <f>'Variante Vorgaben'!$E$101</f>
        <v>40</v>
      </c>
      <c r="DF56" s="62">
        <f>'Variante Vorgaben'!$C$36</f>
        <v>23.18</v>
      </c>
      <c r="DG56" s="43">
        <f t="shared" si="90"/>
        <v>927.2</v>
      </c>
      <c r="DH56" s="271">
        <f t="shared" si="91"/>
        <v>3.1548640811210726E-2</v>
      </c>
      <c r="DI56" s="3"/>
      <c r="DJ56" s="4" t="str">
        <f>'Variante Vorgaben'!$E$99</f>
        <v>Behangsregulierung (von Hand)</v>
      </c>
      <c r="DL56" s="47">
        <f>'Variante Vorgaben'!$E$101</f>
        <v>40</v>
      </c>
      <c r="DM56" s="62">
        <f>'Variante Vorgaben'!$C$36</f>
        <v>23.18</v>
      </c>
      <c r="DN56" s="43">
        <f t="shared" si="92"/>
        <v>927.2</v>
      </c>
      <c r="DO56" s="271">
        <f t="shared" si="93"/>
        <v>3.154553467224272E-2</v>
      </c>
      <c r="DP56" s="3"/>
      <c r="DQ56" s="4" t="str">
        <f>'Variante Vorgaben'!$E$99</f>
        <v>Behangsregulierung (von Hand)</v>
      </c>
      <c r="DS56" s="47">
        <f>'Variante Vorgaben'!$E$101</f>
        <v>40</v>
      </c>
      <c r="DT56" s="62">
        <f>'Variante Vorgaben'!$C$36</f>
        <v>23.18</v>
      </c>
      <c r="DU56" s="43">
        <f t="shared" si="94"/>
        <v>927.2</v>
      </c>
      <c r="DV56" s="271">
        <f t="shared" si="95"/>
        <v>3.1542401197877518E-2</v>
      </c>
      <c r="DW56" s="3"/>
      <c r="DX56" s="4" t="str">
        <f>'Variante Vorgaben'!$E$99</f>
        <v>Behangsregulierung (von Hand)</v>
      </c>
      <c r="DZ56" s="47">
        <f>'Variante Vorgaben'!$E$101</f>
        <v>40</v>
      </c>
      <c r="EA56" s="62">
        <f>'Variante Vorgaben'!$C$36</f>
        <v>23.18</v>
      </c>
      <c r="EB56" s="43">
        <f t="shared" si="96"/>
        <v>927.2</v>
      </c>
      <c r="EC56" s="271">
        <f t="shared" si="97"/>
        <v>3.1539240153116085E-2</v>
      </c>
      <c r="ED56" s="3"/>
      <c r="EE56" s="4" t="str">
        <f>'Variante Vorgaben'!$E$99</f>
        <v>Behangsregulierung (von Hand)</v>
      </c>
      <c r="EG56" s="47">
        <f>'Variante Vorgaben'!$E$101</f>
        <v>40</v>
      </c>
      <c r="EH56" s="62">
        <f>'Variante Vorgaben'!$C$36</f>
        <v>23.18</v>
      </c>
      <c r="EI56" s="43">
        <f t="shared" si="98"/>
        <v>927.2</v>
      </c>
      <c r="EJ56" s="271">
        <f t="shared" si="99"/>
        <v>2.6191149808426118E-2</v>
      </c>
    </row>
    <row r="57" spans="1:140" s="1" customFormat="1" x14ac:dyDescent="0.2">
      <c r="A57" s="52"/>
      <c r="B57" s="1022" t="s">
        <v>468</v>
      </c>
      <c r="C57" s="23"/>
      <c r="D57" s="1023">
        <v>15</v>
      </c>
      <c r="E57" s="62">
        <f>'Variante Vorgaben'!$C$36</f>
        <v>23.18</v>
      </c>
      <c r="F57" s="60">
        <f>D57*E57</f>
        <v>347.7</v>
      </c>
      <c r="G57" s="271">
        <f t="shared" si="21"/>
        <v>3.4243093252076924E-2</v>
      </c>
      <c r="H57" s="52"/>
      <c r="I57" s="1022" t="s">
        <v>468</v>
      </c>
      <c r="J57" s="23"/>
      <c r="K57" s="1023">
        <v>15</v>
      </c>
      <c r="L57" s="62">
        <f>'Variante Vorgaben'!$C$36</f>
        <v>23.18</v>
      </c>
      <c r="M57" s="60">
        <f t="shared" si="62"/>
        <v>347.7</v>
      </c>
      <c r="N57" s="271">
        <f t="shared" si="63"/>
        <v>2.7939804888785506E-2</v>
      </c>
      <c r="O57" s="52"/>
      <c r="P57" s="1022" t="s">
        <v>468</v>
      </c>
      <c r="Q57" s="23"/>
      <c r="R57" s="1023">
        <v>15</v>
      </c>
      <c r="S57" s="62">
        <f>'Variante Vorgaben'!$C$36</f>
        <v>23.18</v>
      </c>
      <c r="T57" s="60">
        <f t="shared" si="64"/>
        <v>347.7</v>
      </c>
      <c r="U57" s="271">
        <f t="shared" si="65"/>
        <v>1.8952075314676114E-2</v>
      </c>
      <c r="V57" s="52"/>
      <c r="W57" s="1022" t="s">
        <v>468</v>
      </c>
      <c r="X57" s="23"/>
      <c r="Y57" s="1023">
        <v>15</v>
      </c>
      <c r="Z57" s="62">
        <f>'Variante Vorgaben'!$C$36</f>
        <v>23.18</v>
      </c>
      <c r="AA57" s="60">
        <f t="shared" si="66"/>
        <v>347.7</v>
      </c>
      <c r="AB57" s="271">
        <f t="shared" si="67"/>
        <v>1.7089897533016409E-2</v>
      </c>
      <c r="AC57" s="52"/>
      <c r="AD57" s="1022" t="s">
        <v>468</v>
      </c>
      <c r="AE57" s="23"/>
      <c r="AF57" s="1023">
        <v>15</v>
      </c>
      <c r="AG57" s="62">
        <f>'Variante Vorgaben'!$C$36</f>
        <v>23.18</v>
      </c>
      <c r="AH57" s="60">
        <f t="shared" si="68"/>
        <v>347.7</v>
      </c>
      <c r="AI57" s="271">
        <f t="shared" si="69"/>
        <v>1.3079931936910602E-2</v>
      </c>
      <c r="AJ57" s="52"/>
      <c r="AK57" s="1022" t="s">
        <v>468</v>
      </c>
      <c r="AL57" s="23"/>
      <c r="AM57" s="1023">
        <v>15</v>
      </c>
      <c r="AN57" s="62">
        <f>'Variante Vorgaben'!$C$36</f>
        <v>23.18</v>
      </c>
      <c r="AO57" s="60">
        <f t="shared" si="70"/>
        <v>347.7</v>
      </c>
      <c r="AP57" s="271">
        <f t="shared" si="71"/>
        <v>1.1841843415490324E-2</v>
      </c>
      <c r="AQ57" s="52"/>
      <c r="AR57" s="1022" t="s">
        <v>468</v>
      </c>
      <c r="AS57" s="23"/>
      <c r="AT57" s="1023">
        <v>15</v>
      </c>
      <c r="AU57" s="62">
        <f>'Variante Vorgaben'!$C$36</f>
        <v>23.18</v>
      </c>
      <c r="AV57" s="60">
        <f t="shared" si="72"/>
        <v>347.7</v>
      </c>
      <c r="AW57" s="271">
        <f t="shared" si="73"/>
        <v>1.1840776429048591E-2</v>
      </c>
      <c r="AX57" s="52"/>
      <c r="AY57" s="1022" t="s">
        <v>468</v>
      </c>
      <c r="AZ57" s="23"/>
      <c r="BA57" s="1023">
        <v>15</v>
      </c>
      <c r="BB57" s="62">
        <f>'Variante Vorgaben'!$C$36</f>
        <v>23.18</v>
      </c>
      <c r="BC57" s="60">
        <f t="shared" si="74"/>
        <v>347.7</v>
      </c>
      <c r="BD57" s="271">
        <f t="shared" si="75"/>
        <v>1.1839700034592209E-2</v>
      </c>
      <c r="BE57" s="52"/>
      <c r="BF57" s="1022" t="s">
        <v>468</v>
      </c>
      <c r="BG57" s="23"/>
      <c r="BH57" s="1023">
        <v>15</v>
      </c>
      <c r="BI57" s="62">
        <f>'Variante Vorgaben'!$C$36</f>
        <v>23.18</v>
      </c>
      <c r="BJ57" s="60">
        <f t="shared" si="76"/>
        <v>347.7</v>
      </c>
      <c r="BK57" s="271">
        <f t="shared" si="77"/>
        <v>1.1838614150918268E-2</v>
      </c>
      <c r="BL57" s="52"/>
      <c r="BM57" s="1022" t="s">
        <v>468</v>
      </c>
      <c r="BN57" s="23"/>
      <c r="BO57" s="1023">
        <v>15</v>
      </c>
      <c r="BP57" s="62">
        <f>'Variante Vorgaben'!$C$36</f>
        <v>23.18</v>
      </c>
      <c r="BQ57" s="60">
        <f t="shared" si="78"/>
        <v>347.7</v>
      </c>
      <c r="BR57" s="271">
        <f t="shared" si="79"/>
        <v>1.1837518696154308E-2</v>
      </c>
      <c r="BS57" s="52"/>
      <c r="BT57" s="1022" t="s">
        <v>468</v>
      </c>
      <c r="BU57" s="23"/>
      <c r="BV57" s="1023">
        <v>15</v>
      </c>
      <c r="BW57" s="62">
        <f>'Variante Vorgaben'!$C$36</f>
        <v>23.18</v>
      </c>
      <c r="BX57" s="60">
        <f t="shared" si="80"/>
        <v>347.7</v>
      </c>
      <c r="BY57" s="271">
        <f t="shared" si="81"/>
        <v>1.1836413587753357E-2</v>
      </c>
      <c r="BZ57" s="52"/>
      <c r="CA57" s="1022" t="s">
        <v>468</v>
      </c>
      <c r="CB57" s="23"/>
      <c r="CC57" s="1023">
        <v>15</v>
      </c>
      <c r="CD57" s="62">
        <f>'Variante Vorgaben'!$C$36</f>
        <v>23.18</v>
      </c>
      <c r="CE57" s="60">
        <f t="shared" si="82"/>
        <v>347.7</v>
      </c>
      <c r="CF57" s="271">
        <f t="shared" si="83"/>
        <v>1.1835298742488953E-2</v>
      </c>
      <c r="CG57" s="52"/>
      <c r="CH57" s="1022" t="s">
        <v>468</v>
      </c>
      <c r="CI57" s="23"/>
      <c r="CJ57" s="1023">
        <v>15</v>
      </c>
      <c r="CK57" s="62">
        <f>'Variante Vorgaben'!$C$36</f>
        <v>23.18</v>
      </c>
      <c r="CL57" s="60">
        <f t="shared" si="84"/>
        <v>347.7</v>
      </c>
      <c r="CM57" s="271">
        <f t="shared" si="85"/>
        <v>1.183417407645013E-2</v>
      </c>
      <c r="CN57" s="52"/>
      <c r="CO57" s="1022" t="s">
        <v>468</v>
      </c>
      <c r="CP57" s="23"/>
      <c r="CQ57" s="1023">
        <v>15</v>
      </c>
      <c r="CR57" s="62">
        <f>'Variante Vorgaben'!$C$36</f>
        <v>23.18</v>
      </c>
      <c r="CS57" s="60">
        <f t="shared" si="86"/>
        <v>347.7</v>
      </c>
      <c r="CT57" s="271">
        <f t="shared" si="87"/>
        <v>1.1833039505036386E-2</v>
      </c>
      <c r="CU57" s="52"/>
      <c r="CV57" s="1022" t="s">
        <v>468</v>
      </c>
      <c r="CW57" s="23"/>
      <c r="CX57" s="1023">
        <v>15</v>
      </c>
      <c r="CY57" s="62">
        <f>'Variante Vorgaben'!$C$36</f>
        <v>23.18</v>
      </c>
      <c r="CZ57" s="60">
        <f t="shared" si="88"/>
        <v>347.7</v>
      </c>
      <c r="DA57" s="271">
        <f t="shared" si="89"/>
        <v>1.1831894942952614E-2</v>
      </c>
      <c r="DC57" s="1022" t="s">
        <v>468</v>
      </c>
      <c r="DD57" s="23"/>
      <c r="DE57" s="1023">
        <v>15</v>
      </c>
      <c r="DF57" s="62">
        <f>'Variante Vorgaben'!$C$36</f>
        <v>23.18</v>
      </c>
      <c r="DG57" s="43">
        <f t="shared" si="90"/>
        <v>347.7</v>
      </c>
      <c r="DH57" s="271">
        <f t="shared" si="91"/>
        <v>1.1830740304204022E-2</v>
      </c>
      <c r="DJ57" s="1022" t="s">
        <v>468</v>
      </c>
      <c r="DK57" s="23"/>
      <c r="DL57" s="1023">
        <v>15</v>
      </c>
      <c r="DM57" s="62">
        <f>'Variante Vorgaben'!$C$36</f>
        <v>23.18</v>
      </c>
      <c r="DN57" s="43">
        <f t="shared" si="92"/>
        <v>347.7</v>
      </c>
      <c r="DO57" s="271">
        <f t="shared" si="93"/>
        <v>1.182957550209102E-2</v>
      </c>
      <c r="DQ57" s="1022" t="s">
        <v>468</v>
      </c>
      <c r="DR57" s="23"/>
      <c r="DS57" s="1023">
        <v>15</v>
      </c>
      <c r="DT57" s="62">
        <f>'Variante Vorgaben'!$C$36</f>
        <v>23.18</v>
      </c>
      <c r="DU57" s="43">
        <f t="shared" si="94"/>
        <v>347.7</v>
      </c>
      <c r="DV57" s="271">
        <f t="shared" si="95"/>
        <v>1.1828400449204069E-2</v>
      </c>
      <c r="DX57" s="1022" t="s">
        <v>468</v>
      </c>
      <c r="DY57" s="23"/>
      <c r="DZ57" s="1023">
        <v>15</v>
      </c>
      <c r="EA57" s="62">
        <f>'Variante Vorgaben'!$C$36</f>
        <v>23.18</v>
      </c>
      <c r="EB57" s="43">
        <f t="shared" si="96"/>
        <v>347.7</v>
      </c>
      <c r="EC57" s="271">
        <f t="shared" si="97"/>
        <v>1.182721505741853E-2</v>
      </c>
      <c r="EE57" s="1022" t="s">
        <v>468</v>
      </c>
      <c r="EF57" s="23"/>
      <c r="EG57" s="1023">
        <v>15</v>
      </c>
      <c r="EH57" s="62">
        <f>'Variante Vorgaben'!$C$36</f>
        <v>23.18</v>
      </c>
      <c r="EI57" s="43">
        <f t="shared" si="98"/>
        <v>347.7</v>
      </c>
      <c r="EJ57" s="271">
        <f t="shared" si="99"/>
        <v>9.821681178159793E-3</v>
      </c>
    </row>
    <row r="58" spans="1:140" s="1" customFormat="1" x14ac:dyDescent="0.2">
      <c r="A58" s="52"/>
      <c r="B58" s="1022" t="s">
        <v>469</v>
      </c>
      <c r="C58" s="23"/>
      <c r="D58" s="1023">
        <v>10</v>
      </c>
      <c r="E58" s="62">
        <f>'Variante Vorgaben'!$C$36</f>
        <v>23.18</v>
      </c>
      <c r="F58" s="60">
        <f>D58*E58</f>
        <v>231.8</v>
      </c>
      <c r="G58" s="271">
        <f t="shared" si="21"/>
        <v>2.2828728834717954E-2</v>
      </c>
      <c r="H58" s="52"/>
      <c r="I58" s="1022" t="s">
        <v>469</v>
      </c>
      <c r="J58" s="23"/>
      <c r="K58" s="1023">
        <v>10</v>
      </c>
      <c r="L58" s="62">
        <f>'Variante Vorgaben'!$C$36</f>
        <v>23.18</v>
      </c>
      <c r="M58" s="60">
        <f t="shared" si="62"/>
        <v>231.8</v>
      </c>
      <c r="N58" s="271">
        <f t="shared" si="63"/>
        <v>1.8626536592523672E-2</v>
      </c>
      <c r="O58" s="52"/>
      <c r="P58" s="1022" t="s">
        <v>469</v>
      </c>
      <c r="Q58" s="23"/>
      <c r="R58" s="1023">
        <v>10</v>
      </c>
      <c r="S58" s="62">
        <f>'Variante Vorgaben'!$C$36</f>
        <v>23.18</v>
      </c>
      <c r="T58" s="60">
        <f t="shared" si="64"/>
        <v>231.8</v>
      </c>
      <c r="U58" s="271">
        <f t="shared" si="65"/>
        <v>1.2634716876450744E-2</v>
      </c>
      <c r="V58" s="52"/>
      <c r="W58" s="1022" t="s">
        <v>469</v>
      </c>
      <c r="X58" s="23"/>
      <c r="Y58" s="1023">
        <v>10</v>
      </c>
      <c r="Z58" s="62">
        <f>'Variante Vorgaben'!$C$36</f>
        <v>23.18</v>
      </c>
      <c r="AA58" s="60">
        <f t="shared" si="66"/>
        <v>231.8</v>
      </c>
      <c r="AB58" s="271">
        <f t="shared" si="67"/>
        <v>1.139326502201094E-2</v>
      </c>
      <c r="AC58" s="52"/>
      <c r="AD58" s="1022" t="s">
        <v>469</v>
      </c>
      <c r="AE58" s="23"/>
      <c r="AF58" s="1023">
        <v>10</v>
      </c>
      <c r="AG58" s="62">
        <f>'Variante Vorgaben'!$C$36</f>
        <v>23.18</v>
      </c>
      <c r="AH58" s="60">
        <f t="shared" si="68"/>
        <v>231.8</v>
      </c>
      <c r="AI58" s="271">
        <f t="shared" si="69"/>
        <v>8.7199546246070677E-3</v>
      </c>
      <c r="AJ58" s="52"/>
      <c r="AK58" s="1022" t="s">
        <v>469</v>
      </c>
      <c r="AL58" s="23"/>
      <c r="AM58" s="1023">
        <v>10</v>
      </c>
      <c r="AN58" s="62">
        <f>'Variante Vorgaben'!$C$36</f>
        <v>23.18</v>
      </c>
      <c r="AO58" s="60">
        <f t="shared" si="70"/>
        <v>231.8</v>
      </c>
      <c r="AP58" s="271">
        <f t="shared" si="71"/>
        <v>7.8945622769935504E-3</v>
      </c>
      <c r="AQ58" s="52"/>
      <c r="AR58" s="1022" t="s">
        <v>469</v>
      </c>
      <c r="AS58" s="23"/>
      <c r="AT58" s="1023">
        <v>10</v>
      </c>
      <c r="AU58" s="62">
        <f>'Variante Vorgaben'!$C$36</f>
        <v>23.18</v>
      </c>
      <c r="AV58" s="60">
        <f t="shared" si="72"/>
        <v>231.8</v>
      </c>
      <c r="AW58" s="271">
        <f t="shared" si="73"/>
        <v>7.8938509526990611E-3</v>
      </c>
      <c r="AX58" s="52"/>
      <c r="AY58" s="1022" t="s">
        <v>469</v>
      </c>
      <c r="AZ58" s="23"/>
      <c r="BA58" s="1023">
        <v>10</v>
      </c>
      <c r="BB58" s="62">
        <f>'Variante Vorgaben'!$C$36</f>
        <v>23.18</v>
      </c>
      <c r="BC58" s="60">
        <f t="shared" si="74"/>
        <v>231.8</v>
      </c>
      <c r="BD58" s="271">
        <f t="shared" si="75"/>
        <v>7.8931333563948061E-3</v>
      </c>
      <c r="BE58" s="52"/>
      <c r="BF58" s="1022" t="s">
        <v>469</v>
      </c>
      <c r="BG58" s="23"/>
      <c r="BH58" s="1023">
        <v>10</v>
      </c>
      <c r="BI58" s="62">
        <f>'Variante Vorgaben'!$C$36</f>
        <v>23.18</v>
      </c>
      <c r="BJ58" s="60">
        <f t="shared" si="76"/>
        <v>231.8</v>
      </c>
      <c r="BK58" s="271">
        <f t="shared" si="77"/>
        <v>7.8924094339455127E-3</v>
      </c>
      <c r="BL58" s="52"/>
      <c r="BM58" s="1022" t="s">
        <v>469</v>
      </c>
      <c r="BN58" s="23"/>
      <c r="BO58" s="1023">
        <v>10</v>
      </c>
      <c r="BP58" s="62">
        <f>'Variante Vorgaben'!$C$36</f>
        <v>23.18</v>
      </c>
      <c r="BQ58" s="60">
        <f t="shared" si="78"/>
        <v>231.8</v>
      </c>
      <c r="BR58" s="271">
        <f t="shared" si="79"/>
        <v>7.891679130769538E-3</v>
      </c>
      <c r="BS58" s="52"/>
      <c r="BT58" s="1022" t="s">
        <v>469</v>
      </c>
      <c r="BU58" s="23"/>
      <c r="BV58" s="1023">
        <v>10</v>
      </c>
      <c r="BW58" s="62">
        <f>'Variante Vorgaben'!$C$36</f>
        <v>23.18</v>
      </c>
      <c r="BX58" s="60">
        <f t="shared" si="80"/>
        <v>231.8</v>
      </c>
      <c r="BY58" s="271">
        <f t="shared" si="81"/>
        <v>7.8909423918355724E-3</v>
      </c>
      <c r="BZ58" s="52"/>
      <c r="CA58" s="1022" t="s">
        <v>469</v>
      </c>
      <c r="CB58" s="23"/>
      <c r="CC58" s="1023">
        <v>10</v>
      </c>
      <c r="CD58" s="62">
        <f>'Variante Vorgaben'!$C$36</f>
        <v>23.18</v>
      </c>
      <c r="CE58" s="60">
        <f t="shared" si="82"/>
        <v>231.8</v>
      </c>
      <c r="CF58" s="271">
        <f t="shared" si="83"/>
        <v>7.8901991616593028E-3</v>
      </c>
      <c r="CG58" s="52"/>
      <c r="CH58" s="1022" t="s">
        <v>469</v>
      </c>
      <c r="CI58" s="23"/>
      <c r="CJ58" s="1023">
        <v>10</v>
      </c>
      <c r="CK58" s="62">
        <f>'Variante Vorgaben'!$C$36</f>
        <v>23.18</v>
      </c>
      <c r="CL58" s="60">
        <f t="shared" si="84"/>
        <v>231.8</v>
      </c>
      <c r="CM58" s="271">
        <f t="shared" si="85"/>
        <v>7.889449384300088E-3</v>
      </c>
      <c r="CN58" s="52"/>
      <c r="CO58" s="1022" t="s">
        <v>469</v>
      </c>
      <c r="CP58" s="23"/>
      <c r="CQ58" s="1023">
        <v>10</v>
      </c>
      <c r="CR58" s="62">
        <f>'Variante Vorgaben'!$C$36</f>
        <v>23.18</v>
      </c>
      <c r="CS58" s="60">
        <f t="shared" si="86"/>
        <v>231.8</v>
      </c>
      <c r="CT58" s="271">
        <f t="shared" si="87"/>
        <v>7.8886930033575907E-3</v>
      </c>
      <c r="CU58" s="52"/>
      <c r="CV58" s="1022" t="s">
        <v>469</v>
      </c>
      <c r="CW58" s="23"/>
      <c r="CX58" s="1023">
        <v>10</v>
      </c>
      <c r="CY58" s="62">
        <f>'Variante Vorgaben'!$C$36</f>
        <v>23.18</v>
      </c>
      <c r="CZ58" s="60">
        <f t="shared" si="88"/>
        <v>231.8</v>
      </c>
      <c r="DA58" s="271">
        <f t="shared" si="89"/>
        <v>7.8879299619684096E-3</v>
      </c>
      <c r="DC58" s="1022" t="s">
        <v>469</v>
      </c>
      <c r="DD58" s="23"/>
      <c r="DE58" s="1023">
        <v>10</v>
      </c>
      <c r="DF58" s="62">
        <f>'Variante Vorgaben'!$C$36</f>
        <v>23.18</v>
      </c>
      <c r="DG58" s="43">
        <f t="shared" si="90"/>
        <v>231.8</v>
      </c>
      <c r="DH58" s="271">
        <f t="shared" si="91"/>
        <v>7.8871602028026816E-3</v>
      </c>
      <c r="DJ58" s="1022" t="s">
        <v>469</v>
      </c>
      <c r="DK58" s="23"/>
      <c r="DL58" s="1023">
        <v>10</v>
      </c>
      <c r="DM58" s="62">
        <f>'Variante Vorgaben'!$C$36</f>
        <v>23.18</v>
      </c>
      <c r="DN58" s="43">
        <f t="shared" si="92"/>
        <v>231.8</v>
      </c>
      <c r="DO58" s="271">
        <f t="shared" si="93"/>
        <v>7.88638366806068E-3</v>
      </c>
      <c r="DQ58" s="1022" t="s">
        <v>469</v>
      </c>
      <c r="DR58" s="23"/>
      <c r="DS58" s="1023">
        <v>10</v>
      </c>
      <c r="DT58" s="62">
        <f>'Variante Vorgaben'!$C$36</f>
        <v>23.18</v>
      </c>
      <c r="DU58" s="43">
        <f t="shared" si="94"/>
        <v>231.8</v>
      </c>
      <c r="DV58" s="271">
        <f t="shared" si="95"/>
        <v>7.8856002994693794E-3</v>
      </c>
      <c r="DX58" s="1022" t="s">
        <v>469</v>
      </c>
      <c r="DY58" s="23"/>
      <c r="DZ58" s="1023">
        <v>10</v>
      </c>
      <c r="EA58" s="62">
        <f>'Variante Vorgaben'!$C$36</f>
        <v>23.18</v>
      </c>
      <c r="EB58" s="43">
        <f t="shared" si="96"/>
        <v>231.8</v>
      </c>
      <c r="EC58" s="271">
        <f t="shared" si="97"/>
        <v>7.8848100382790214E-3</v>
      </c>
      <c r="EE58" s="1022" t="s">
        <v>469</v>
      </c>
      <c r="EF58" s="23"/>
      <c r="EG58" s="1023">
        <v>10</v>
      </c>
      <c r="EH58" s="62">
        <f>'Variante Vorgaben'!$C$36</f>
        <v>23.18</v>
      </c>
      <c r="EI58" s="43">
        <f t="shared" si="98"/>
        <v>231.8</v>
      </c>
      <c r="EJ58" s="271">
        <f t="shared" si="99"/>
        <v>6.5477874521065295E-3</v>
      </c>
    </row>
    <row r="59" spans="1:140" s="1" customFormat="1" x14ac:dyDescent="0.2">
      <c r="A59" s="52"/>
      <c r="B59" s="1022" t="s">
        <v>599</v>
      </c>
      <c r="C59" s="23"/>
      <c r="D59" s="503">
        <f>'Variante Erstellung'!$D$157</f>
        <v>20</v>
      </c>
      <c r="E59" s="62">
        <f>'Variante Vorgaben'!$C$36</f>
        <v>23.18</v>
      </c>
      <c r="F59" s="60">
        <f>D59*E59</f>
        <v>463.6</v>
      </c>
      <c r="G59" s="271">
        <f t="shared" si="21"/>
        <v>4.5657457669435908E-2</v>
      </c>
      <c r="H59" s="52"/>
      <c r="I59" s="1022" t="s">
        <v>599</v>
      </c>
      <c r="J59" s="23"/>
      <c r="K59" s="503">
        <f>'Variante Erstellung'!$D$157</f>
        <v>20</v>
      </c>
      <c r="L59" s="62">
        <f>'Variante Vorgaben'!$C$36</f>
        <v>23.18</v>
      </c>
      <c r="M59" s="60">
        <f>K59*L59</f>
        <v>463.6</v>
      </c>
      <c r="N59" s="271">
        <f t="shared" si="63"/>
        <v>3.7253073185047343E-2</v>
      </c>
      <c r="O59" s="52"/>
      <c r="P59" s="1022" t="s">
        <v>599</v>
      </c>
      <c r="Q59" s="23"/>
      <c r="R59" s="503">
        <f>'Variante Erstellung'!$D$157</f>
        <v>20</v>
      </c>
      <c r="S59" s="62">
        <f>'Variante Vorgaben'!$C$36</f>
        <v>23.18</v>
      </c>
      <c r="T59" s="60">
        <f>R59*S59</f>
        <v>463.6</v>
      </c>
      <c r="U59" s="271">
        <f t="shared" si="65"/>
        <v>2.5269433752901489E-2</v>
      </c>
      <c r="V59" s="52"/>
      <c r="W59" s="1022" t="s">
        <v>599</v>
      </c>
      <c r="X59" s="23"/>
      <c r="Y59" s="503">
        <f>'Variante Erstellung'!$D$157</f>
        <v>20</v>
      </c>
      <c r="Z59" s="62">
        <f>'Variante Vorgaben'!$C$36</f>
        <v>23.18</v>
      </c>
      <c r="AA59" s="60">
        <f>Y59*Z59</f>
        <v>463.6</v>
      </c>
      <c r="AB59" s="271">
        <f t="shared" ref="AB59" si="100">AA59/$T$67</f>
        <v>2.5269433752901489E-2</v>
      </c>
      <c r="AC59" s="52"/>
      <c r="AD59" s="1022" t="s">
        <v>599</v>
      </c>
      <c r="AE59" s="23"/>
      <c r="AF59" s="503">
        <f>'Variante Erstellung'!$D$157</f>
        <v>20</v>
      </c>
      <c r="AG59" s="62">
        <f>'Variante Vorgaben'!$C$36</f>
        <v>23.18</v>
      </c>
      <c r="AH59" s="60">
        <f>AF59*AG59</f>
        <v>463.6</v>
      </c>
      <c r="AI59" s="271">
        <f t="shared" ref="AI59" si="101">AH59/$T$67</f>
        <v>2.5269433752901489E-2</v>
      </c>
      <c r="AJ59" s="52"/>
      <c r="AK59" s="1022" t="s">
        <v>599</v>
      </c>
      <c r="AL59" s="23"/>
      <c r="AM59" s="503">
        <f>'Variante Erstellung'!$D$157</f>
        <v>20</v>
      </c>
      <c r="AN59" s="62">
        <f>'Variante Vorgaben'!$C$36</f>
        <v>23.18</v>
      </c>
      <c r="AO59" s="60">
        <f>AM59*AN59</f>
        <v>463.6</v>
      </c>
      <c r="AP59" s="271">
        <f t="shared" ref="AP59" si="102">AO59/$T$67</f>
        <v>2.5269433752901489E-2</v>
      </c>
      <c r="AQ59" s="52"/>
      <c r="AR59" s="1022" t="s">
        <v>599</v>
      </c>
      <c r="AS59" s="23"/>
      <c r="AT59" s="503">
        <f>'Variante Erstellung'!$D$157</f>
        <v>20</v>
      </c>
      <c r="AU59" s="62">
        <f>'Variante Vorgaben'!$C$36</f>
        <v>23.18</v>
      </c>
      <c r="AV59" s="60">
        <f>AT59*AU59</f>
        <v>463.6</v>
      </c>
      <c r="AW59" s="271">
        <f t="shared" ref="AW59" si="103">AV59/$T$67</f>
        <v>2.5269433752901489E-2</v>
      </c>
      <c r="AX59" s="52"/>
      <c r="AY59" s="1022" t="s">
        <v>599</v>
      </c>
      <c r="AZ59" s="23"/>
      <c r="BA59" s="503">
        <f>'Variante Erstellung'!$D$157</f>
        <v>20</v>
      </c>
      <c r="BB59" s="62">
        <f>'Variante Vorgaben'!$C$36</f>
        <v>23.18</v>
      </c>
      <c r="BC59" s="60">
        <f>BA59*BB59</f>
        <v>463.6</v>
      </c>
      <c r="BD59" s="271">
        <f t="shared" ref="BD59" si="104">BC59/$T$67</f>
        <v>2.5269433752901489E-2</v>
      </c>
      <c r="BE59" s="52"/>
      <c r="BF59" s="1022" t="s">
        <v>599</v>
      </c>
      <c r="BG59" s="23"/>
      <c r="BH59" s="503">
        <f>'Variante Erstellung'!$D$157</f>
        <v>20</v>
      </c>
      <c r="BI59" s="62">
        <f>'Variante Vorgaben'!$C$36</f>
        <v>23.18</v>
      </c>
      <c r="BJ59" s="60">
        <f>BH59*BI59</f>
        <v>463.6</v>
      </c>
      <c r="BK59" s="271">
        <f t="shared" ref="BK59" si="105">BJ59/$T$67</f>
        <v>2.5269433752901489E-2</v>
      </c>
      <c r="BL59" s="52"/>
      <c r="BM59" s="1022" t="s">
        <v>599</v>
      </c>
      <c r="BN59" s="23"/>
      <c r="BO59" s="503">
        <f>'Variante Erstellung'!$D$157</f>
        <v>20</v>
      </c>
      <c r="BP59" s="62">
        <f>'Variante Vorgaben'!$C$36</f>
        <v>23.18</v>
      </c>
      <c r="BQ59" s="60">
        <f>BO59*BP59</f>
        <v>463.6</v>
      </c>
      <c r="BR59" s="271">
        <f t="shared" ref="BR59" si="106">BQ59/$T$67</f>
        <v>2.5269433752901489E-2</v>
      </c>
      <c r="BS59" s="52"/>
      <c r="BT59" s="1022" t="s">
        <v>599</v>
      </c>
      <c r="BU59" s="23"/>
      <c r="BV59" s="503">
        <f>'Variante Erstellung'!$D$157</f>
        <v>20</v>
      </c>
      <c r="BW59" s="62">
        <f>'Variante Vorgaben'!$C$36</f>
        <v>23.18</v>
      </c>
      <c r="BX59" s="60">
        <f>BV59*BW59</f>
        <v>463.6</v>
      </c>
      <c r="BY59" s="271">
        <f t="shared" ref="BY59" si="107">BX59/$T$67</f>
        <v>2.5269433752901489E-2</v>
      </c>
      <c r="BZ59" s="52"/>
      <c r="CA59" s="1022" t="s">
        <v>599</v>
      </c>
      <c r="CB59" s="23"/>
      <c r="CC59" s="503">
        <f>'Variante Erstellung'!$D$157</f>
        <v>20</v>
      </c>
      <c r="CD59" s="62">
        <f>'Variante Vorgaben'!$C$36</f>
        <v>23.18</v>
      </c>
      <c r="CE59" s="60">
        <f>CC59*CD59</f>
        <v>463.6</v>
      </c>
      <c r="CF59" s="271">
        <f t="shared" ref="CF59" si="108">CE59/$T$67</f>
        <v>2.5269433752901489E-2</v>
      </c>
      <c r="CG59" s="52"/>
      <c r="CH59" s="1022" t="s">
        <v>599</v>
      </c>
      <c r="CI59" s="23"/>
      <c r="CJ59" s="503">
        <f>'Variante Erstellung'!$D$157</f>
        <v>20</v>
      </c>
      <c r="CK59" s="62">
        <f>'Variante Vorgaben'!$C$36</f>
        <v>23.18</v>
      </c>
      <c r="CL59" s="60">
        <f>CJ59*CK59</f>
        <v>463.6</v>
      </c>
      <c r="CM59" s="271">
        <f t="shared" ref="CM59" si="109">CL59/$T$67</f>
        <v>2.5269433752901489E-2</v>
      </c>
      <c r="CN59" s="52"/>
      <c r="CO59" s="1022" t="s">
        <v>599</v>
      </c>
      <c r="CP59" s="23"/>
      <c r="CQ59" s="503">
        <f>'Variante Erstellung'!$D$157</f>
        <v>20</v>
      </c>
      <c r="CR59" s="62">
        <f>'Variante Vorgaben'!$C$36</f>
        <v>23.18</v>
      </c>
      <c r="CS59" s="60">
        <f>CQ59*CR59</f>
        <v>463.6</v>
      </c>
      <c r="CT59" s="271">
        <f t="shared" ref="CT59" si="110">CS59/$T$67</f>
        <v>2.5269433752901489E-2</v>
      </c>
      <c r="CU59" s="52"/>
      <c r="CV59" s="1022" t="s">
        <v>599</v>
      </c>
      <c r="CW59" s="23"/>
      <c r="CX59" s="503">
        <f>'Variante Erstellung'!$D$157</f>
        <v>20</v>
      </c>
      <c r="CY59" s="62">
        <f>'Variante Vorgaben'!$C$36</f>
        <v>23.18</v>
      </c>
      <c r="CZ59" s="60">
        <f>CX59*CY59</f>
        <v>463.6</v>
      </c>
      <c r="DA59" s="271">
        <f t="shared" ref="DA59" si="111">CZ59/$T$67</f>
        <v>2.5269433752901489E-2</v>
      </c>
      <c r="DC59" s="1022" t="s">
        <v>599</v>
      </c>
      <c r="DD59" s="23"/>
      <c r="DE59" s="503">
        <f>'Variante Erstellung'!$D$157</f>
        <v>20</v>
      </c>
      <c r="DF59" s="62">
        <f>'Variante Vorgaben'!$C$36</f>
        <v>23.18</v>
      </c>
      <c r="DG59" s="60">
        <f>DE59*DF59</f>
        <v>463.6</v>
      </c>
      <c r="DH59" s="271">
        <f t="shared" ref="DH59" si="112">DG59/$T$67</f>
        <v>2.5269433752901489E-2</v>
      </c>
      <c r="DJ59" s="1022" t="s">
        <v>599</v>
      </c>
      <c r="DK59" s="23"/>
      <c r="DL59" s="503">
        <f>'Variante Erstellung'!$D$157</f>
        <v>20</v>
      </c>
      <c r="DM59" s="62">
        <f>'Variante Vorgaben'!$C$36</f>
        <v>23.18</v>
      </c>
      <c r="DN59" s="60">
        <f>DL59*DM59</f>
        <v>463.6</v>
      </c>
      <c r="DO59" s="271">
        <f t="shared" ref="DO59" si="113">DN59/$T$67</f>
        <v>2.5269433752901489E-2</v>
      </c>
      <c r="DQ59" s="1022" t="s">
        <v>599</v>
      </c>
      <c r="DR59" s="23"/>
      <c r="DS59" s="503">
        <f>'Variante Erstellung'!$D$157</f>
        <v>20</v>
      </c>
      <c r="DT59" s="62">
        <f>'Variante Vorgaben'!$C$36</f>
        <v>23.18</v>
      </c>
      <c r="DU59" s="60">
        <f>DS59*DT59</f>
        <v>463.6</v>
      </c>
      <c r="DV59" s="271">
        <f t="shared" ref="DV59" si="114">DU59/$T$67</f>
        <v>2.5269433752901489E-2</v>
      </c>
      <c r="DX59" s="1022" t="s">
        <v>599</v>
      </c>
      <c r="DY59" s="23"/>
      <c r="DZ59" s="503">
        <f>'Variante Erstellung'!$D$157</f>
        <v>20</v>
      </c>
      <c r="EA59" s="62">
        <f>'Variante Vorgaben'!$C$36</f>
        <v>23.18</v>
      </c>
      <c r="EB59" s="60">
        <f>DZ59*EA59</f>
        <v>463.6</v>
      </c>
      <c r="EC59" s="271">
        <f t="shared" ref="EC59" si="115">EB59/$T$67</f>
        <v>2.5269433752901489E-2</v>
      </c>
      <c r="EE59" s="1022" t="s">
        <v>599</v>
      </c>
      <c r="EF59" s="23"/>
      <c r="EG59" s="503">
        <f>'Variante Erstellung'!$D$157</f>
        <v>20</v>
      </c>
      <c r="EH59" s="62">
        <f>'Variante Vorgaben'!$C$36</f>
        <v>23.18</v>
      </c>
      <c r="EI59" s="60">
        <f>EG59*EH59</f>
        <v>463.6</v>
      </c>
      <c r="EJ59" s="271">
        <f t="shared" ref="EJ59" si="116">EI59/$T$67</f>
        <v>2.5269433752901489E-2</v>
      </c>
    </row>
    <row r="60" spans="1:140" s="1" customFormat="1" x14ac:dyDescent="0.2">
      <c r="A60" s="3"/>
      <c r="B60" s="3" t="str">
        <f>'Variante Vorgaben'!$G$73</f>
        <v>Ernte baumfallend</v>
      </c>
      <c r="C60" s="631">
        <f>'Variante Vorgaben'!$G$95</f>
        <v>125</v>
      </c>
      <c r="D60" s="143">
        <f>(D9+D10+('Variante Vorgaben'!$D$95*D12))/C60</f>
        <v>0</v>
      </c>
      <c r="E60" s="62">
        <f>'Variante Vorgaben'!$C$36</f>
        <v>23.18</v>
      </c>
      <c r="F60" s="43">
        <f t="shared" si="61"/>
        <v>0</v>
      </c>
      <c r="G60" s="271">
        <f t="shared" si="21"/>
        <v>0</v>
      </c>
      <c r="H60" s="3"/>
      <c r="I60" s="3" t="str">
        <f>'Variante Vorgaben'!$G$73</f>
        <v>Ernte baumfallend</v>
      </c>
      <c r="J60" s="631">
        <f>'Variante Vorgaben'!$G$95</f>
        <v>125</v>
      </c>
      <c r="K60" s="143">
        <f>(K9+K10+('Variante Vorgaben'!$D$95*K12))/J60</f>
        <v>20.399999999999999</v>
      </c>
      <c r="L60" s="62">
        <f>'Variante Vorgaben'!$C$36</f>
        <v>23.18</v>
      </c>
      <c r="M60" s="43">
        <f t="shared" si="62"/>
        <v>472.87199999999996</v>
      </c>
      <c r="N60" s="271">
        <f t="shared" si="63"/>
        <v>3.7998134648748287E-2</v>
      </c>
      <c r="O60" s="3"/>
      <c r="P60" s="3" t="str">
        <f>'Variante Vorgaben'!$G$73</f>
        <v>Ernte baumfallend</v>
      </c>
      <c r="Q60" s="631">
        <f>'Variante Vorgaben'!$G$95</f>
        <v>125</v>
      </c>
      <c r="R60" s="143">
        <f>(R9+R10+('Variante Vorgaben'!$D$95*R12))/Q60</f>
        <v>34</v>
      </c>
      <c r="S60" s="62">
        <f>'Variante Vorgaben'!$C$36</f>
        <v>23.18</v>
      </c>
      <c r="T60" s="43">
        <f t="shared" si="64"/>
        <v>788.12</v>
      </c>
      <c r="U60" s="271">
        <f t="shared" si="65"/>
        <v>4.2958037379932527E-2</v>
      </c>
      <c r="V60" s="3"/>
      <c r="W60" s="3" t="str">
        <f>'Variante Vorgaben'!$G$73</f>
        <v>Ernte baumfallend</v>
      </c>
      <c r="X60" s="631">
        <f>'Variante Vorgaben'!$G$95</f>
        <v>125</v>
      </c>
      <c r="Y60" s="143">
        <f>(Y9+Y10+('Variante Vorgaben'!$D$95*Y12))/X60</f>
        <v>68</v>
      </c>
      <c r="Z60" s="62">
        <f>'Variante Vorgaben'!$C$36</f>
        <v>23.18</v>
      </c>
      <c r="AA60" s="43">
        <f t="shared" si="66"/>
        <v>1576.24</v>
      </c>
      <c r="AB60" s="271">
        <f t="shared" si="67"/>
        <v>7.747420214967439E-2</v>
      </c>
      <c r="AC60" s="3"/>
      <c r="AD60" s="3" t="str">
        <f>'Variante Vorgaben'!$G$73</f>
        <v>Ernte baumfallend</v>
      </c>
      <c r="AE60" s="631">
        <f>'Variante Vorgaben'!$G$95</f>
        <v>125</v>
      </c>
      <c r="AF60" s="143">
        <f>(AF9+AF10+('Variante Vorgaben'!$D$95*AF12))/AE60</f>
        <v>136</v>
      </c>
      <c r="AG60" s="62">
        <f>'Variante Vorgaben'!$C$36</f>
        <v>23.18</v>
      </c>
      <c r="AH60" s="60">
        <f t="shared" si="68"/>
        <v>3152.48</v>
      </c>
      <c r="AI60" s="271">
        <f t="shared" si="69"/>
        <v>0.11859138289465612</v>
      </c>
      <c r="AJ60" s="3"/>
      <c r="AK60" s="3" t="str">
        <f>'Variante Vorgaben'!$G$73</f>
        <v>Ernte baumfallend</v>
      </c>
      <c r="AL60" s="631">
        <f>'Variante Vorgaben'!$G$95</f>
        <v>125</v>
      </c>
      <c r="AM60" s="143">
        <f>(AM9+AM10+('Variante Vorgaben'!$D$95*AM12))/AL60</f>
        <v>217.6</v>
      </c>
      <c r="AN60" s="62">
        <f>'Variante Vorgaben'!$C$36</f>
        <v>23.18</v>
      </c>
      <c r="AO60" s="43">
        <f t="shared" si="70"/>
        <v>5043.9679999999998</v>
      </c>
      <c r="AP60" s="271">
        <f t="shared" si="71"/>
        <v>0.17178567514737964</v>
      </c>
      <c r="AQ60" s="3"/>
      <c r="AR60" s="3" t="str">
        <f>'Variante Vorgaben'!$G$73</f>
        <v>Ernte baumfallend</v>
      </c>
      <c r="AS60" s="631">
        <f>'Variante Vorgaben'!$G$95</f>
        <v>125</v>
      </c>
      <c r="AT60" s="143">
        <f>(AT9+AT10+('Variante Vorgaben'!$D$95*AT12))/AS60</f>
        <v>217.6</v>
      </c>
      <c r="AU60" s="62">
        <f>'Variante Vorgaben'!$C$36</f>
        <v>23.18</v>
      </c>
      <c r="AV60" s="43">
        <f t="shared" si="72"/>
        <v>5043.9679999999998</v>
      </c>
      <c r="AW60" s="271">
        <f t="shared" si="73"/>
        <v>0.17177019673073157</v>
      </c>
      <c r="AX60" s="3"/>
      <c r="AY60" s="3" t="str">
        <f>'Variante Vorgaben'!$G$73</f>
        <v>Ernte baumfallend</v>
      </c>
      <c r="AZ60" s="631">
        <f>'Variante Vorgaben'!$G$95</f>
        <v>125</v>
      </c>
      <c r="BA60" s="143">
        <f>(BA9+BA10+('Variante Vorgaben'!$D$95*BA12))/AZ60</f>
        <v>217.6</v>
      </c>
      <c r="BB60" s="62">
        <f>'Variante Vorgaben'!$C$36</f>
        <v>23.18</v>
      </c>
      <c r="BC60" s="43">
        <f t="shared" si="74"/>
        <v>5043.9679999999998</v>
      </c>
      <c r="BD60" s="271">
        <f t="shared" si="75"/>
        <v>0.17175458183515097</v>
      </c>
      <c r="BE60" s="3"/>
      <c r="BF60" s="3" t="str">
        <f>'Variante Vorgaben'!$G$73</f>
        <v>Ernte baumfallend</v>
      </c>
      <c r="BG60" s="631">
        <f>'Variante Vorgaben'!$G$95</f>
        <v>125</v>
      </c>
      <c r="BH60" s="143">
        <f>(BH9+BH10+('Variante Vorgaben'!$D$95*BH12))/BG60</f>
        <v>217.6</v>
      </c>
      <c r="BI60" s="62">
        <f>'Variante Vorgaben'!$C$36</f>
        <v>23.18</v>
      </c>
      <c r="BJ60" s="43">
        <f t="shared" si="76"/>
        <v>5043.9679999999998</v>
      </c>
      <c r="BK60" s="271">
        <f t="shared" si="77"/>
        <v>0.17173882928265435</v>
      </c>
      <c r="BL60" s="3"/>
      <c r="BM60" s="3" t="str">
        <f>'Variante Vorgaben'!$G$73</f>
        <v>Ernte baumfallend</v>
      </c>
      <c r="BN60" s="631">
        <f>'Variante Vorgaben'!$G$95</f>
        <v>125</v>
      </c>
      <c r="BO60" s="143">
        <f>(BO9+BO10+('Variante Vorgaben'!$D$95*BO12))/BN60</f>
        <v>217.6</v>
      </c>
      <c r="BP60" s="62">
        <f>'Variante Vorgaben'!$C$36</f>
        <v>23.18</v>
      </c>
      <c r="BQ60" s="43">
        <f t="shared" si="78"/>
        <v>5043.9679999999998</v>
      </c>
      <c r="BR60" s="271">
        <f t="shared" si="79"/>
        <v>0.17172293788554516</v>
      </c>
      <c r="BS60" s="3"/>
      <c r="BT60" s="3" t="str">
        <f>'Variante Vorgaben'!$G$73</f>
        <v>Ernte baumfallend</v>
      </c>
      <c r="BU60" s="631">
        <f>'Variante Vorgaben'!$G$95</f>
        <v>125</v>
      </c>
      <c r="BV60" s="143">
        <f>(BV9+BV10+('Variante Vorgaben'!$D$95*BV12))/BU60</f>
        <v>217.6</v>
      </c>
      <c r="BW60" s="62">
        <f>'Variante Vorgaben'!$C$36</f>
        <v>23.18</v>
      </c>
      <c r="BX60" s="43">
        <f t="shared" si="80"/>
        <v>5043.9679999999998</v>
      </c>
      <c r="BY60" s="271">
        <f t="shared" si="81"/>
        <v>0.17170690644634201</v>
      </c>
      <c r="BZ60" s="3"/>
      <c r="CA60" s="3" t="str">
        <f>'Variante Vorgaben'!$G$73</f>
        <v>Ernte baumfallend</v>
      </c>
      <c r="CB60" s="631">
        <f>'Variante Vorgaben'!$G$95</f>
        <v>125</v>
      </c>
      <c r="CC60" s="143">
        <f>(CC9+CC10+('Variante Vorgaben'!$D$95*CC12))/CB60</f>
        <v>217.6</v>
      </c>
      <c r="CD60" s="62">
        <f>'Variante Vorgaben'!$C$36</f>
        <v>23.18</v>
      </c>
      <c r="CE60" s="43">
        <f t="shared" si="82"/>
        <v>5043.9679999999998</v>
      </c>
      <c r="CF60" s="271">
        <f t="shared" si="83"/>
        <v>0.17169073375770641</v>
      </c>
      <c r="CG60" s="3"/>
      <c r="CH60" s="3" t="str">
        <f>'Variante Vorgaben'!$G$73</f>
        <v>Ernte baumfallend</v>
      </c>
      <c r="CI60" s="631">
        <f>'Variante Vorgaben'!$G$95</f>
        <v>125</v>
      </c>
      <c r="CJ60" s="143">
        <f>(CJ9+CJ10+('Variante Vorgaben'!$D$95*CJ12))/CI60</f>
        <v>217.6</v>
      </c>
      <c r="CK60" s="62">
        <f>'Variante Vorgaben'!$C$36</f>
        <v>23.18</v>
      </c>
      <c r="CL60" s="60">
        <f t="shared" si="84"/>
        <v>5043.9679999999998</v>
      </c>
      <c r="CM60" s="271">
        <f t="shared" si="85"/>
        <v>0.1716744186023699</v>
      </c>
      <c r="CN60" s="3"/>
      <c r="CO60" s="3" t="str">
        <f>'Variante Vorgaben'!$G$73</f>
        <v>Ernte baumfallend</v>
      </c>
      <c r="CP60" s="631">
        <f>'Variante Vorgaben'!$G$95</f>
        <v>125</v>
      </c>
      <c r="CQ60" s="143">
        <f>(CQ9+CQ10+('Variante Vorgaben'!$D$95*CQ12))/CP60</f>
        <v>217.6</v>
      </c>
      <c r="CR60" s="62">
        <f>'Variante Vorgaben'!$C$36</f>
        <v>23.18</v>
      </c>
      <c r="CS60" s="43">
        <f t="shared" si="86"/>
        <v>5043.9679999999998</v>
      </c>
      <c r="CT60" s="271">
        <f t="shared" si="87"/>
        <v>0.17165795975306117</v>
      </c>
      <c r="CU60" s="3"/>
      <c r="CV60" s="3" t="str">
        <f>'Variante Vorgaben'!$G$73</f>
        <v>Ernte baumfallend</v>
      </c>
      <c r="CW60" s="631">
        <f>'Variante Vorgaben'!$G$95</f>
        <v>125</v>
      </c>
      <c r="CX60" s="143">
        <f>(CX9+CX10+('Variante Vorgaben'!$D$95*CX12))/CW60</f>
        <v>217.6</v>
      </c>
      <c r="CY60" s="62">
        <f>'Variante Vorgaben'!$C$36</f>
        <v>23.18</v>
      </c>
      <c r="CZ60" s="43">
        <f t="shared" si="88"/>
        <v>5043.9679999999998</v>
      </c>
      <c r="DA60" s="271">
        <f t="shared" si="89"/>
        <v>0.1716413559724326</v>
      </c>
      <c r="DB60" s="3"/>
      <c r="DC60" s="3" t="str">
        <f>'Variante Vorgaben'!$G$73</f>
        <v>Ernte baumfallend</v>
      </c>
      <c r="DD60" s="631">
        <f>'Variante Vorgaben'!$G$95</f>
        <v>125</v>
      </c>
      <c r="DE60" s="143">
        <f>(DE9+DE10+('Variante Vorgaben'!$D$95*DE12))/DD60</f>
        <v>217.6</v>
      </c>
      <c r="DF60" s="62">
        <f>'Variante Vorgaben'!$C$36</f>
        <v>23.18</v>
      </c>
      <c r="DG60" s="43">
        <f t="shared" si="90"/>
        <v>5043.9679999999998</v>
      </c>
      <c r="DH60" s="271">
        <f t="shared" si="91"/>
        <v>0.17162460601298635</v>
      </c>
      <c r="DI60" s="3"/>
      <c r="DJ60" s="3" t="str">
        <f>'Variante Vorgaben'!$G$73</f>
        <v>Ernte baumfallend</v>
      </c>
      <c r="DK60" s="631">
        <f>'Variante Vorgaben'!$G$95</f>
        <v>125</v>
      </c>
      <c r="DL60" s="143">
        <f>(DL9+DL10+('Variante Vorgaben'!$D$95*DL12))/DK60</f>
        <v>217.6</v>
      </c>
      <c r="DM60" s="62">
        <f>'Variante Vorgaben'!$C$36</f>
        <v>23.18</v>
      </c>
      <c r="DN60" s="43">
        <f t="shared" si="92"/>
        <v>5043.9679999999998</v>
      </c>
      <c r="DO60" s="271">
        <f t="shared" si="93"/>
        <v>0.17160770861700039</v>
      </c>
      <c r="DP60" s="3"/>
      <c r="DQ60" s="3" t="str">
        <f>'Variante Vorgaben'!$G$73</f>
        <v>Ernte baumfallend</v>
      </c>
      <c r="DR60" s="631">
        <f>'Variante Vorgaben'!$G$95</f>
        <v>125</v>
      </c>
      <c r="DS60" s="143">
        <f>(DS9+DS10+('Variante Vorgaben'!$D$95*DS12))/DR60</f>
        <v>217.6</v>
      </c>
      <c r="DT60" s="62">
        <f>'Variante Vorgaben'!$C$36</f>
        <v>23.18</v>
      </c>
      <c r="DU60" s="43">
        <f t="shared" si="94"/>
        <v>5043.9679999999998</v>
      </c>
      <c r="DV60" s="271">
        <f t="shared" si="95"/>
        <v>0.17159066251645369</v>
      </c>
      <c r="DW60" s="3"/>
      <c r="DX60" s="3" t="str">
        <f>'Variante Vorgaben'!$G$73</f>
        <v>Ernte baumfallend</v>
      </c>
      <c r="DY60" s="631">
        <f>'Variante Vorgaben'!$G$95</f>
        <v>125</v>
      </c>
      <c r="DZ60" s="143">
        <f>(DZ9+DZ10+('Variante Vorgaben'!$D$95*DZ12))/DY60</f>
        <v>217.6</v>
      </c>
      <c r="EA60" s="62">
        <f>'Variante Vorgaben'!$C$36</f>
        <v>23.18</v>
      </c>
      <c r="EB60" s="43">
        <f t="shared" si="96"/>
        <v>5043.9679999999998</v>
      </c>
      <c r="EC60" s="271">
        <f t="shared" si="97"/>
        <v>0.17157346643295149</v>
      </c>
      <c r="ED60" s="3"/>
      <c r="EE60" s="3" t="str">
        <f>'Variante Vorgaben'!$G$73</f>
        <v>Ernte baumfallend</v>
      </c>
      <c r="EF60" s="631">
        <f>'Variante Vorgaben'!$G$95</f>
        <v>125</v>
      </c>
      <c r="EG60" s="143">
        <f>(EG9+EG10+('Variante Vorgaben'!$D$95*EG12))/EF60</f>
        <v>217.6</v>
      </c>
      <c r="EH60" s="62">
        <f>'Variante Vorgaben'!$C$36</f>
        <v>23.18</v>
      </c>
      <c r="EI60" s="43">
        <f t="shared" si="98"/>
        <v>5043.9679999999998</v>
      </c>
      <c r="EJ60" s="271">
        <f t="shared" si="99"/>
        <v>0.14247985495783808</v>
      </c>
    </row>
    <row r="61" spans="1:140" s="1" customFormat="1" x14ac:dyDescent="0.2">
      <c r="A61" s="3"/>
      <c r="B61" s="4" t="s">
        <v>99</v>
      </c>
      <c r="C61" s="46"/>
      <c r="D61" s="563">
        <f>'Variante Vorgaben'!$F$102+'Variante Vorgaben'!$G$102</f>
        <v>20</v>
      </c>
      <c r="E61" s="62">
        <f>'Variante Vorgaben'!$C$33</f>
        <v>41.4</v>
      </c>
      <c r="F61" s="118">
        <f t="shared" si="61"/>
        <v>828</v>
      </c>
      <c r="G61" s="271">
        <f t="shared" si="21"/>
        <v>8.1545243637387674E-2</v>
      </c>
      <c r="H61" s="3"/>
      <c r="I61" s="4" t="s">
        <v>99</v>
      </c>
      <c r="J61" s="46"/>
      <c r="K61" s="563">
        <f>'Variante Vorgaben'!$F$102+'Variante Vorgaben'!$G$102</f>
        <v>20</v>
      </c>
      <c r="L61" s="62">
        <f>'Variante Vorgaben'!$C$33</f>
        <v>41.4</v>
      </c>
      <c r="M61" s="118">
        <f t="shared" si="62"/>
        <v>828</v>
      </c>
      <c r="N61" s="271">
        <f t="shared" si="63"/>
        <v>6.6534824411603105E-2</v>
      </c>
      <c r="O61" s="3"/>
      <c r="P61" s="4" t="s">
        <v>99</v>
      </c>
      <c r="Q61" s="46"/>
      <c r="R61" s="563">
        <f>'Variante Vorgaben'!$F$102+'Variante Vorgaben'!$G$102</f>
        <v>20</v>
      </c>
      <c r="S61" s="62">
        <f>'Variante Vorgaben'!$C$33</f>
        <v>41.4</v>
      </c>
      <c r="T61" s="118">
        <f t="shared" si="64"/>
        <v>828</v>
      </c>
      <c r="U61" s="271">
        <f t="shared" si="65"/>
        <v>4.5131775555225261E-2</v>
      </c>
      <c r="V61" s="3"/>
      <c r="W61" s="4" t="s">
        <v>99</v>
      </c>
      <c r="X61" s="46"/>
      <c r="Y61" s="563">
        <f>'Variante Vorgaben'!$F$102+'Variante Vorgaben'!$G$102</f>
        <v>20</v>
      </c>
      <c r="Z61" s="62">
        <f>'Variante Vorgaben'!$C$33</f>
        <v>41.4</v>
      </c>
      <c r="AA61" s="118">
        <f t="shared" si="66"/>
        <v>828</v>
      </c>
      <c r="AB61" s="271">
        <f t="shared" si="67"/>
        <v>4.0697253831859612E-2</v>
      </c>
      <c r="AC61" s="3"/>
      <c r="AD61" s="4" t="s">
        <v>99</v>
      </c>
      <c r="AE61" s="46"/>
      <c r="AF61" s="563">
        <f>'Variante Vorgaben'!$F$102+'Variante Vorgaben'!$G$102</f>
        <v>20</v>
      </c>
      <c r="AG61" s="62">
        <f>'Variante Vorgaben'!$C$33</f>
        <v>41.4</v>
      </c>
      <c r="AH61" s="118">
        <f t="shared" si="68"/>
        <v>828</v>
      </c>
      <c r="AI61" s="271">
        <f t="shared" si="69"/>
        <v>3.1148069150882883E-2</v>
      </c>
      <c r="AJ61" s="3"/>
      <c r="AK61" s="4" t="s">
        <v>99</v>
      </c>
      <c r="AL61" s="46"/>
      <c r="AM61" s="563">
        <f>'Variante Vorgaben'!$F$102+'Variante Vorgaben'!$G$102</f>
        <v>20</v>
      </c>
      <c r="AN61" s="62">
        <f>'Variante Vorgaben'!$C$33</f>
        <v>41.4</v>
      </c>
      <c r="AO61" s="118">
        <f t="shared" si="70"/>
        <v>828</v>
      </c>
      <c r="AP61" s="271">
        <f t="shared" si="71"/>
        <v>2.8199730652936409E-2</v>
      </c>
      <c r="AQ61" s="3"/>
      <c r="AR61" s="4" t="s">
        <v>99</v>
      </c>
      <c r="AS61" s="46"/>
      <c r="AT61" s="563">
        <f>'Variante Vorgaben'!$F$102+'Variante Vorgaben'!$G$102</f>
        <v>20</v>
      </c>
      <c r="AU61" s="62">
        <f>'Variante Vorgaben'!$C$33</f>
        <v>41.4</v>
      </c>
      <c r="AV61" s="118">
        <f t="shared" si="72"/>
        <v>828</v>
      </c>
      <c r="AW61" s="271">
        <f t="shared" si="73"/>
        <v>2.819718977064203E-2</v>
      </c>
      <c r="AX61" s="3"/>
      <c r="AY61" s="4" t="s">
        <v>99</v>
      </c>
      <c r="AZ61" s="46"/>
      <c r="BA61" s="563">
        <f>'Variante Vorgaben'!$F$102+'Variante Vorgaben'!$G$102</f>
        <v>20</v>
      </c>
      <c r="BB61" s="62">
        <f>'Variante Vorgaben'!$C$33</f>
        <v>41.4</v>
      </c>
      <c r="BC61" s="118">
        <f t="shared" si="74"/>
        <v>828</v>
      </c>
      <c r="BD61" s="271">
        <f t="shared" si="75"/>
        <v>2.8194626484447365E-2</v>
      </c>
      <c r="BE61" s="3"/>
      <c r="BF61" s="4" t="s">
        <v>99</v>
      </c>
      <c r="BG61" s="46"/>
      <c r="BH61" s="563">
        <f>'Variante Vorgaben'!$F$102+'Variante Vorgaben'!$G$102</f>
        <v>20</v>
      </c>
      <c r="BI61" s="62">
        <f>'Variante Vorgaben'!$C$33</f>
        <v>41.4</v>
      </c>
      <c r="BJ61" s="118">
        <f t="shared" si="76"/>
        <v>828</v>
      </c>
      <c r="BK61" s="271">
        <f t="shared" si="77"/>
        <v>2.8192040600978793E-2</v>
      </c>
      <c r="BL61" s="3"/>
      <c r="BM61" s="4" t="s">
        <v>99</v>
      </c>
      <c r="BN61" s="46"/>
      <c r="BO61" s="563">
        <f>'Variante Vorgaben'!$F$102+'Variante Vorgaben'!$G$102</f>
        <v>20</v>
      </c>
      <c r="BP61" s="62">
        <f>'Variante Vorgaben'!$C$33</f>
        <v>41.4</v>
      </c>
      <c r="BQ61" s="118">
        <f t="shared" si="78"/>
        <v>828</v>
      </c>
      <c r="BR61" s="271">
        <f t="shared" si="79"/>
        <v>2.8189431925268238E-2</v>
      </c>
      <c r="BS61" s="3"/>
      <c r="BT61" s="4" t="s">
        <v>99</v>
      </c>
      <c r="BU61" s="46"/>
      <c r="BV61" s="563">
        <f>'Variante Vorgaben'!$F$102+'Variante Vorgaben'!$G$102</f>
        <v>20</v>
      </c>
      <c r="BW61" s="62">
        <f>'Variante Vorgaben'!$C$33</f>
        <v>41.4</v>
      </c>
      <c r="BX61" s="118">
        <f t="shared" si="80"/>
        <v>828</v>
      </c>
      <c r="BY61" s="271">
        <f t="shared" si="81"/>
        <v>2.8186800260741385E-2</v>
      </c>
      <c r="BZ61" s="3"/>
      <c r="CA61" s="4" t="s">
        <v>99</v>
      </c>
      <c r="CB61" s="46"/>
      <c r="CC61" s="563">
        <f>'Variante Vorgaben'!$F$102+'Variante Vorgaben'!$G$102</f>
        <v>20</v>
      </c>
      <c r="CD61" s="62">
        <f>'Variante Vorgaben'!$C$33</f>
        <v>41.4</v>
      </c>
      <c r="CE61" s="118">
        <f t="shared" si="82"/>
        <v>828</v>
      </c>
      <c r="CF61" s="271">
        <f t="shared" si="83"/>
        <v>2.8184145409205792E-2</v>
      </c>
      <c r="CG61" s="3"/>
      <c r="CH61" s="4" t="s">
        <v>99</v>
      </c>
      <c r="CI61" s="46"/>
      <c r="CJ61" s="563">
        <f>'Variante Vorgaben'!$F$102+'Variante Vorgaben'!$G$102</f>
        <v>20</v>
      </c>
      <c r="CK61" s="62">
        <f>'Variante Vorgaben'!$C$33</f>
        <v>41.4</v>
      </c>
      <c r="CL61" s="118">
        <f t="shared" si="84"/>
        <v>828</v>
      </c>
      <c r="CM61" s="271">
        <f t="shared" si="85"/>
        <v>2.8181467170838966E-2</v>
      </c>
      <c r="CN61" s="3"/>
      <c r="CO61" s="4" t="s">
        <v>99</v>
      </c>
      <c r="CP61" s="46"/>
      <c r="CQ61" s="563">
        <f>'Variante Vorgaben'!$F$102+'Variante Vorgaben'!$G$102</f>
        <v>20</v>
      </c>
      <c r="CR61" s="62">
        <f>'Variante Vorgaben'!$C$33</f>
        <v>41.4</v>
      </c>
      <c r="CS61" s="118">
        <f t="shared" si="86"/>
        <v>828</v>
      </c>
      <c r="CT61" s="271">
        <f t="shared" si="87"/>
        <v>2.8178765344176383E-2</v>
      </c>
      <c r="CU61" s="3"/>
      <c r="CV61" s="4" t="s">
        <v>99</v>
      </c>
      <c r="CW61" s="46"/>
      <c r="CX61" s="563">
        <f>'Variante Vorgaben'!$F$102+'Variante Vorgaben'!$G$102</f>
        <v>20</v>
      </c>
      <c r="CY61" s="62">
        <f>'Variante Vorgaben'!$C$33</f>
        <v>41.4</v>
      </c>
      <c r="CZ61" s="118">
        <f t="shared" si="88"/>
        <v>828</v>
      </c>
      <c r="DA61" s="271">
        <f t="shared" si="89"/>
        <v>2.817603972609941E-2</v>
      </c>
      <c r="DB61" s="3"/>
      <c r="DC61" s="4" t="s">
        <v>99</v>
      </c>
      <c r="DD61" s="46"/>
      <c r="DE61" s="563">
        <f>'Variante Vorgaben'!$F$102+'Variante Vorgaben'!$G$102</f>
        <v>20</v>
      </c>
      <c r="DF61" s="62">
        <f>'Variante Vorgaben'!$C$33</f>
        <v>41.4</v>
      </c>
      <c r="DG61" s="118">
        <f t="shared" si="90"/>
        <v>828</v>
      </c>
      <c r="DH61" s="271">
        <f t="shared" si="91"/>
        <v>2.8173290111823214E-2</v>
      </c>
      <c r="DI61" s="3"/>
      <c r="DJ61" s="4" t="s">
        <v>99</v>
      </c>
      <c r="DK61" s="46"/>
      <c r="DL61" s="563">
        <f>'Variante Vorgaben'!$F$102+'Variante Vorgaben'!$G$102</f>
        <v>20</v>
      </c>
      <c r="DM61" s="62">
        <f>'Variante Vorgaben'!$C$33</f>
        <v>41.4</v>
      </c>
      <c r="DN61" s="118">
        <f t="shared" si="92"/>
        <v>828</v>
      </c>
      <c r="DO61" s="271">
        <f t="shared" si="93"/>
        <v>2.8170516294884568E-2</v>
      </c>
      <c r="DP61" s="3"/>
      <c r="DQ61" s="4" t="s">
        <v>99</v>
      </c>
      <c r="DR61" s="46"/>
      <c r="DS61" s="563">
        <f>'Variante Vorgaben'!$F$102+'Variante Vorgaben'!$G$102</f>
        <v>20</v>
      </c>
      <c r="DT61" s="62">
        <f>'Variante Vorgaben'!$C$33</f>
        <v>41.4</v>
      </c>
      <c r="DU61" s="118">
        <f t="shared" si="94"/>
        <v>828</v>
      </c>
      <c r="DV61" s="271">
        <f t="shared" si="95"/>
        <v>2.8167718067129623E-2</v>
      </c>
      <c r="DW61" s="3"/>
      <c r="DX61" s="4" t="s">
        <v>99</v>
      </c>
      <c r="DY61" s="46"/>
      <c r="DZ61" s="563">
        <f>'Variante Vorgaben'!$F$102+'Variante Vorgaben'!$G$102</f>
        <v>20</v>
      </c>
      <c r="EA61" s="62">
        <f>'Variante Vorgaben'!$C$33</f>
        <v>41.4</v>
      </c>
      <c r="EB61" s="118">
        <f t="shared" si="96"/>
        <v>828</v>
      </c>
      <c r="EC61" s="271">
        <f t="shared" si="97"/>
        <v>2.8164895218701594E-2</v>
      </c>
      <c r="ED61" s="3"/>
      <c r="EE61" s="4" t="s">
        <v>99</v>
      </c>
      <c r="EF61" s="46"/>
      <c r="EG61" s="563">
        <f>'Variante Vorgaben'!$F$102+'Variante Vorgaben'!$G$102</f>
        <v>20</v>
      </c>
      <c r="EH61" s="62">
        <f>'Variante Vorgaben'!$C$33</f>
        <v>41.4</v>
      </c>
      <c r="EI61" s="118">
        <f t="shared" si="98"/>
        <v>828</v>
      </c>
      <c r="EJ61" s="271">
        <f t="shared" si="99"/>
        <v>2.33889905536851E-2</v>
      </c>
    </row>
    <row r="62" spans="1:140" s="1" customFormat="1" x14ac:dyDescent="0.2">
      <c r="A62" s="156" t="s">
        <v>88</v>
      </c>
      <c r="B62" s="632">
        <f>('Variante Vorgaben'!$F$35*D56)+('Variante Vorgaben'!$F$35*D60)</f>
        <v>0</v>
      </c>
      <c r="C62" s="156" t="s">
        <v>86</v>
      </c>
      <c r="D62" s="633">
        <f>SUM(D52:D61)</f>
        <v>147</v>
      </c>
      <c r="E62" s="62"/>
      <c r="F62" s="77">
        <f>SUM(F52:F61)</f>
        <v>4552.5</v>
      </c>
      <c r="G62" s="271">
        <f t="shared" si="21"/>
        <v>0.44835111311498477</v>
      </c>
      <c r="H62" s="156" t="s">
        <v>88</v>
      </c>
      <c r="I62" s="632">
        <f>('Variante Vorgaben'!$F$35*K56)+('Variante Vorgaben'!$F$35*K60)</f>
        <v>34.340000000000003</v>
      </c>
      <c r="J62" s="156" t="s">
        <v>86</v>
      </c>
      <c r="K62" s="633">
        <f>SUM(K52:K61)</f>
        <v>192.4</v>
      </c>
      <c r="L62" s="62"/>
      <c r="M62" s="77">
        <f>SUM(M52:M61)</f>
        <v>5652.4720000000007</v>
      </c>
      <c r="N62" s="271">
        <f t="shared" si="63"/>
        <v>0.45421042513466559</v>
      </c>
      <c r="O62" s="156" t="s">
        <v>88</v>
      </c>
      <c r="P62" s="632">
        <f>('Variante Vorgaben'!$F$35*R56)+('Variante Vorgaben'!$F$35*R60)</f>
        <v>62.9</v>
      </c>
      <c r="Q62" s="156" t="s">
        <v>86</v>
      </c>
      <c r="R62" s="633">
        <f>SUM(R52:R61)</f>
        <v>342</v>
      </c>
      <c r="S62" s="62"/>
      <c r="T62" s="77">
        <f>SUM(T52:T61)</f>
        <v>10224.52</v>
      </c>
      <c r="U62" s="271">
        <f t="shared" si="65"/>
        <v>0.55730765917863745</v>
      </c>
      <c r="V62" s="156" t="s">
        <v>88</v>
      </c>
      <c r="W62" s="632">
        <f>('Variante Vorgaben'!$F$35*Y56)+('Variante Vorgaben'!$F$35*Y60)</f>
        <v>91.8</v>
      </c>
      <c r="X62" s="156" t="s">
        <v>86</v>
      </c>
      <c r="Y62" s="633">
        <f>SUM(Y52:Y61)</f>
        <v>379</v>
      </c>
      <c r="Z62" s="62"/>
      <c r="AA62" s="77">
        <f>SUM(AA52:AA61)</f>
        <v>11110.74</v>
      </c>
      <c r="AB62" s="271">
        <f t="shared" si="67"/>
        <v>0.54610701212535728</v>
      </c>
      <c r="AC62" s="156" t="s">
        <v>88</v>
      </c>
      <c r="AD62" s="632">
        <f>('Variante Vorgaben'!$F$35*AF56)+('Variante Vorgaben'!$F$35*AF60)</f>
        <v>149.6</v>
      </c>
      <c r="AE62" s="156" t="s">
        <v>86</v>
      </c>
      <c r="AF62" s="633">
        <f>SUM(AF52:AF61)</f>
        <v>461</v>
      </c>
      <c r="AG62" s="62"/>
      <c r="AH62" s="77">
        <f>SUM(AH52:AH61)</f>
        <v>13144.779999999999</v>
      </c>
      <c r="AI62" s="271">
        <f t="shared" si="69"/>
        <v>0.49448613093374671</v>
      </c>
      <c r="AJ62" s="156" t="s">
        <v>88</v>
      </c>
      <c r="AK62" s="632">
        <f>('Variante Vorgaben'!$F$35*AM56)+('Variante Vorgaben'!$F$35*AM60)</f>
        <v>218.95999999999998</v>
      </c>
      <c r="AL62" s="156" t="s">
        <v>86</v>
      </c>
      <c r="AM62" s="633">
        <f>SUM(AM52:AM61)</f>
        <v>543.6</v>
      </c>
      <c r="AN62" s="62"/>
      <c r="AO62" s="77">
        <f>SUM(AO52:AO61)</f>
        <v>15068.968000000001</v>
      </c>
      <c r="AP62" s="271">
        <f t="shared" si="71"/>
        <v>0.5132135734513501</v>
      </c>
      <c r="AQ62" s="156" t="s">
        <v>88</v>
      </c>
      <c r="AR62" s="632">
        <f>('Variante Vorgaben'!$F$35*AT56)+('Variante Vorgaben'!$F$35*AT60)</f>
        <v>218.95999999999998</v>
      </c>
      <c r="AS62" s="156" t="s">
        <v>86</v>
      </c>
      <c r="AT62" s="633">
        <f>SUM(AT52:AT61)</f>
        <v>543.6</v>
      </c>
      <c r="AU62" s="62"/>
      <c r="AV62" s="77">
        <f>SUM(AV52:AV61)</f>
        <v>15068.968000000001</v>
      </c>
      <c r="AW62" s="271">
        <f t="shared" si="73"/>
        <v>0.51316733133300974</v>
      </c>
      <c r="AX62" s="156" t="s">
        <v>88</v>
      </c>
      <c r="AY62" s="632">
        <f>('Variante Vorgaben'!$F$35*BA56)+('Variante Vorgaben'!$F$35*BA60)</f>
        <v>218.95999999999998</v>
      </c>
      <c r="AZ62" s="156" t="s">
        <v>86</v>
      </c>
      <c r="BA62" s="633">
        <f>SUM(BA52:BA61)</f>
        <v>543.6</v>
      </c>
      <c r="BB62" s="62"/>
      <c r="BC62" s="77">
        <f>SUM(BC52:BC61)</f>
        <v>15068.968000000001</v>
      </c>
      <c r="BD62" s="271">
        <f t="shared" si="75"/>
        <v>0.51312068148078482</v>
      </c>
      <c r="BE62" s="156" t="s">
        <v>88</v>
      </c>
      <c r="BF62" s="632">
        <f>('Variante Vorgaben'!$F$35*BH56)+('Variante Vorgaben'!$F$35*BH60)</f>
        <v>218.95999999999998</v>
      </c>
      <c r="BG62" s="156" t="s">
        <v>86</v>
      </c>
      <c r="BH62" s="633">
        <f>SUM(BH52:BH61)</f>
        <v>543.6</v>
      </c>
      <c r="BI62" s="62"/>
      <c r="BJ62" s="77">
        <f>SUM(BJ52:BJ61)</f>
        <v>15068.968000000001</v>
      </c>
      <c r="BK62" s="271">
        <f t="shared" si="77"/>
        <v>0.51307362037542292</v>
      </c>
      <c r="BL62" s="156" t="s">
        <v>88</v>
      </c>
      <c r="BM62" s="632">
        <f>('Variante Vorgaben'!$F$35*BO56)+('Variante Vorgaben'!$F$35*BO60)</f>
        <v>218.95999999999998</v>
      </c>
      <c r="BN62" s="156" t="s">
        <v>86</v>
      </c>
      <c r="BO62" s="633">
        <f>SUM(BO52:BO61)</f>
        <v>543.6</v>
      </c>
      <c r="BP62" s="62"/>
      <c r="BQ62" s="77">
        <f>SUM(BQ52:BQ61)</f>
        <v>15068.968000000001</v>
      </c>
      <c r="BR62" s="271">
        <f t="shared" si="79"/>
        <v>0.51302614446865402</v>
      </c>
      <c r="BS62" s="156" t="s">
        <v>88</v>
      </c>
      <c r="BT62" s="632">
        <f>('Variante Vorgaben'!$F$35*BV56)+('Variante Vorgaben'!$F$35*BV60)</f>
        <v>218.95999999999998</v>
      </c>
      <c r="BU62" s="156" t="s">
        <v>86</v>
      </c>
      <c r="BV62" s="633">
        <f>SUM(BV52:BV61)</f>
        <v>543.6</v>
      </c>
      <c r="BW62" s="62"/>
      <c r="BX62" s="77">
        <f>SUM(BX52:BX61)</f>
        <v>15068.968000000001</v>
      </c>
      <c r="BY62" s="271">
        <f t="shared" si="81"/>
        <v>0.51297825018297538</v>
      </c>
      <c r="BZ62" s="156" t="s">
        <v>88</v>
      </c>
      <c r="CA62" s="632">
        <f>('Variante Vorgaben'!$F$35*CC56)+('Variante Vorgaben'!$F$35*CC60)</f>
        <v>218.95999999999998</v>
      </c>
      <c r="CB62" s="156" t="s">
        <v>86</v>
      </c>
      <c r="CC62" s="633">
        <f>SUM(CC52:CC61)</f>
        <v>543.6</v>
      </c>
      <c r="CD62" s="62"/>
      <c r="CE62" s="77">
        <f>SUM(CE52:CE61)</f>
        <v>15068.968000000001</v>
      </c>
      <c r="CF62" s="271">
        <f t="shared" si="83"/>
        <v>0.51292993391143593</v>
      </c>
      <c r="CG62" s="156" t="s">
        <v>88</v>
      </c>
      <c r="CH62" s="632">
        <f>('Variante Vorgaben'!$F$35*CJ56)+('Variante Vorgaben'!$F$35*CJ60)</f>
        <v>218.95999999999998</v>
      </c>
      <c r="CI62" s="156" t="s">
        <v>86</v>
      </c>
      <c r="CJ62" s="633">
        <f>SUM(CJ52:CJ61)</f>
        <v>543.6</v>
      </c>
      <c r="CK62" s="62"/>
      <c r="CL62" s="77">
        <f>SUM(CL52:CL61)</f>
        <v>15068.968000000001</v>
      </c>
      <c r="CM62" s="271">
        <f t="shared" si="85"/>
        <v>0.512881192017419</v>
      </c>
      <c r="CN62" s="156" t="s">
        <v>88</v>
      </c>
      <c r="CO62" s="632">
        <f>('Variante Vorgaben'!$F$35*CQ56)+('Variante Vorgaben'!$F$35*CQ60)</f>
        <v>218.95999999999998</v>
      </c>
      <c r="CP62" s="156" t="s">
        <v>86</v>
      </c>
      <c r="CQ62" s="633">
        <f>SUM(CQ52:CQ61)</f>
        <v>543.6</v>
      </c>
      <c r="CR62" s="62"/>
      <c r="CS62" s="77">
        <f>SUM(CS52:CS61)</f>
        <v>15068.968000000001</v>
      </c>
      <c r="CT62" s="271">
        <f t="shared" si="87"/>
        <v>0.51283202083442381</v>
      </c>
      <c r="CU62" s="156" t="s">
        <v>88</v>
      </c>
      <c r="CV62" s="632">
        <f>('Variante Vorgaben'!$F$35*CX56)+('Variante Vorgaben'!$F$35*CX60)</f>
        <v>218.95999999999998</v>
      </c>
      <c r="CW62" s="156" t="s">
        <v>86</v>
      </c>
      <c r="CX62" s="633">
        <f>SUM(CX52:CX61)</f>
        <v>543.6</v>
      </c>
      <c r="CY62" s="62"/>
      <c r="CZ62" s="77">
        <f>SUM(CZ52:CZ61)</f>
        <v>15068.968000000001</v>
      </c>
      <c r="DA62" s="271">
        <f t="shared" si="89"/>
        <v>0.51278241666584634</v>
      </c>
      <c r="DB62" s="156" t="s">
        <v>88</v>
      </c>
      <c r="DC62" s="632">
        <f>('Variante Vorgaben'!$F$35*DE56)+('Variante Vorgaben'!$F$35*DE60)</f>
        <v>218.95999999999998</v>
      </c>
      <c r="DD62" s="156" t="s">
        <v>86</v>
      </c>
      <c r="DE62" s="633">
        <f>SUM(DE52:DE61)</f>
        <v>543.6</v>
      </c>
      <c r="DF62" s="62"/>
      <c r="DG62" s="77">
        <f>SUM(DG52:DG61)</f>
        <v>15068.968000000001</v>
      </c>
      <c r="DH62" s="271">
        <f t="shared" si="91"/>
        <v>0.51273237578475894</v>
      </c>
      <c r="DI62" s="156" t="s">
        <v>88</v>
      </c>
      <c r="DJ62" s="632">
        <f>('Variante Vorgaben'!$F$35*DL56)+('Variante Vorgaben'!$F$35*DL60)</f>
        <v>218.95999999999998</v>
      </c>
      <c r="DK62" s="156" t="s">
        <v>86</v>
      </c>
      <c r="DL62" s="633">
        <f>SUM(DL52:DL61)</f>
        <v>543.6</v>
      </c>
      <c r="DM62" s="62"/>
      <c r="DN62" s="77">
        <f>SUM(DN52:DN61)</f>
        <v>15068.968000000001</v>
      </c>
      <c r="DO62" s="271">
        <f t="shared" si="93"/>
        <v>0.51268189443368861</v>
      </c>
      <c r="DP62" s="156" t="s">
        <v>88</v>
      </c>
      <c r="DQ62" s="632">
        <f>('Variante Vorgaben'!$F$35*DS56)+('Variante Vorgaben'!$F$35*DS60)</f>
        <v>218.95999999999998</v>
      </c>
      <c r="DR62" s="156" t="s">
        <v>86</v>
      </c>
      <c r="DS62" s="633">
        <f>SUM(DS52:DS61)</f>
        <v>543.6</v>
      </c>
      <c r="DT62" s="62"/>
      <c r="DU62" s="77">
        <f>SUM(DU52:DU61)</f>
        <v>15068.968000000001</v>
      </c>
      <c r="DV62" s="271">
        <f t="shared" si="95"/>
        <v>0.51263096882439385</v>
      </c>
      <c r="DW62" s="156" t="s">
        <v>88</v>
      </c>
      <c r="DX62" s="632">
        <f>('Variante Vorgaben'!$F$35*DZ56)+('Variante Vorgaben'!$F$35*DZ60)</f>
        <v>218.95999999999998</v>
      </c>
      <c r="DY62" s="156" t="s">
        <v>86</v>
      </c>
      <c r="DZ62" s="633">
        <f>SUM(DZ52:DZ61)</f>
        <v>543.6</v>
      </c>
      <c r="EA62" s="62"/>
      <c r="EB62" s="77">
        <f>SUM(EB52:EB61)</f>
        <v>15068.968000000001</v>
      </c>
      <c r="EC62" s="271">
        <f t="shared" si="97"/>
        <v>0.51257959513764173</v>
      </c>
      <c r="ED62" s="156" t="s">
        <v>88</v>
      </c>
      <c r="EE62" s="632">
        <f>('Variante Vorgaben'!$F$35*EG56)+('Variante Vorgaben'!$F$35*EG60)</f>
        <v>218.95999999999998</v>
      </c>
      <c r="EF62" s="156" t="s">
        <v>86</v>
      </c>
      <c r="EG62" s="633">
        <f>SUM(EG52:EG61)</f>
        <v>543.6</v>
      </c>
      <c r="EH62" s="62"/>
      <c r="EI62" s="77">
        <f>SUM(EI52:EI61)</f>
        <v>15068.968000000001</v>
      </c>
      <c r="EJ62" s="271">
        <f t="shared" si="99"/>
        <v>0.42566177561084911</v>
      </c>
    </row>
    <row r="63" spans="1:140" s="1" customFormat="1" ht="18" customHeight="1" x14ac:dyDescent="0.2">
      <c r="A63" s="3" t="s">
        <v>67</v>
      </c>
      <c r="B63" s="4" t="s">
        <v>65</v>
      </c>
      <c r="C63" s="46"/>
      <c r="D63" s="46"/>
      <c r="E63" s="62"/>
      <c r="F63" s="43">
        <f>'Variante Vorgaben'!$C$43</f>
        <v>660</v>
      </c>
      <c r="G63" s="271">
        <f t="shared" si="21"/>
        <v>6.4999831884874237E-2</v>
      </c>
      <c r="H63" s="3" t="s">
        <v>67</v>
      </c>
      <c r="I63" s="4" t="s">
        <v>65</v>
      </c>
      <c r="J63" s="46"/>
      <c r="K63" s="46"/>
      <c r="L63" s="62"/>
      <c r="M63" s="43">
        <f>'Variante Vorgaben'!$C$43</f>
        <v>660</v>
      </c>
      <c r="N63" s="271">
        <f t="shared" si="63"/>
        <v>5.3035004965770592E-2</v>
      </c>
      <c r="O63" s="3" t="s">
        <v>67</v>
      </c>
      <c r="P63" s="4" t="s">
        <v>65</v>
      </c>
      <c r="Q63" s="46"/>
      <c r="R63" s="46"/>
      <c r="S63" s="62"/>
      <c r="T63" s="43">
        <f>'Variante Vorgaben'!$C$43</f>
        <v>660</v>
      </c>
      <c r="U63" s="271">
        <f t="shared" si="65"/>
        <v>3.5974603703440425E-2</v>
      </c>
      <c r="V63" s="3" t="s">
        <v>67</v>
      </c>
      <c r="W63" s="4" t="s">
        <v>65</v>
      </c>
      <c r="X63" s="46"/>
      <c r="Y63" s="46"/>
      <c r="Z63" s="62"/>
      <c r="AA63" s="43">
        <f>'Variante Vorgaben'!$C$43</f>
        <v>660</v>
      </c>
      <c r="AB63" s="271">
        <f t="shared" si="67"/>
        <v>3.2439840010902589E-2</v>
      </c>
      <c r="AC63" s="3" t="s">
        <v>67</v>
      </c>
      <c r="AD63" s="4" t="s">
        <v>65</v>
      </c>
      <c r="AE63" s="46"/>
      <c r="AF63" s="46"/>
      <c r="AG63" s="62"/>
      <c r="AH63" s="43">
        <f>'Variante Vorgaben'!$C$43</f>
        <v>660</v>
      </c>
      <c r="AI63" s="271">
        <f t="shared" si="69"/>
        <v>2.4828171062297951E-2</v>
      </c>
      <c r="AJ63" s="3" t="s">
        <v>67</v>
      </c>
      <c r="AK63" s="4" t="s">
        <v>65</v>
      </c>
      <c r="AL63" s="46"/>
      <c r="AM63" s="46"/>
      <c r="AN63" s="62"/>
      <c r="AO63" s="43">
        <f>'Variante Vorgaben'!$C$43</f>
        <v>660</v>
      </c>
      <c r="AP63" s="271">
        <f t="shared" si="71"/>
        <v>2.247804617263047E-2</v>
      </c>
      <c r="AQ63" s="3" t="s">
        <v>67</v>
      </c>
      <c r="AR63" s="4" t="s">
        <v>65</v>
      </c>
      <c r="AS63" s="46"/>
      <c r="AT63" s="46"/>
      <c r="AU63" s="62"/>
      <c r="AV63" s="43">
        <f>'Variante Vorgaben'!$C$43</f>
        <v>660</v>
      </c>
      <c r="AW63" s="271">
        <f t="shared" si="73"/>
        <v>2.2476020831671183E-2</v>
      </c>
      <c r="AX63" s="3" t="s">
        <v>67</v>
      </c>
      <c r="AY63" s="4" t="s">
        <v>65</v>
      </c>
      <c r="AZ63" s="46"/>
      <c r="BA63" s="46"/>
      <c r="BB63" s="62"/>
      <c r="BC63" s="43">
        <f>'Variante Vorgaben'!$C$43</f>
        <v>660</v>
      </c>
      <c r="BD63" s="271">
        <f t="shared" si="75"/>
        <v>2.247397763253051E-2</v>
      </c>
      <c r="BE63" s="3" t="s">
        <v>67</v>
      </c>
      <c r="BF63" s="4" t="s">
        <v>65</v>
      </c>
      <c r="BG63" s="46"/>
      <c r="BH63" s="46"/>
      <c r="BI63" s="62"/>
      <c r="BJ63" s="43">
        <f>'Variante Vorgaben'!$C$43</f>
        <v>660</v>
      </c>
      <c r="BK63" s="271">
        <f t="shared" si="77"/>
        <v>2.2471916421070052E-2</v>
      </c>
      <c r="BL63" s="3" t="s">
        <v>67</v>
      </c>
      <c r="BM63" s="4" t="s">
        <v>65</v>
      </c>
      <c r="BN63" s="46"/>
      <c r="BO63" s="46"/>
      <c r="BP63" s="62"/>
      <c r="BQ63" s="43">
        <f>'Variante Vorgaben'!$C$43</f>
        <v>660</v>
      </c>
      <c r="BR63" s="271">
        <f t="shared" si="79"/>
        <v>2.2469837041880481E-2</v>
      </c>
      <c r="BS63" s="3" t="s">
        <v>67</v>
      </c>
      <c r="BT63" s="4" t="s">
        <v>65</v>
      </c>
      <c r="BU63" s="46"/>
      <c r="BV63" s="46"/>
      <c r="BW63" s="62"/>
      <c r="BX63" s="43">
        <f>'Variante Vorgaben'!$C$43</f>
        <v>660</v>
      </c>
      <c r="BY63" s="271">
        <f t="shared" si="81"/>
        <v>2.2467739338272119E-2</v>
      </c>
      <c r="BZ63" s="3" t="s">
        <v>67</v>
      </c>
      <c r="CA63" s="4" t="s">
        <v>65</v>
      </c>
      <c r="CB63" s="46"/>
      <c r="CC63" s="46"/>
      <c r="CD63" s="62"/>
      <c r="CE63" s="43">
        <f>'Variante Vorgaben'!$C$43</f>
        <v>660</v>
      </c>
      <c r="CF63" s="271">
        <f t="shared" si="83"/>
        <v>2.2465623152265485E-2</v>
      </c>
      <c r="CG63" s="3" t="s">
        <v>67</v>
      </c>
      <c r="CH63" s="4" t="s">
        <v>65</v>
      </c>
      <c r="CI63" s="46"/>
      <c r="CJ63" s="46"/>
      <c r="CK63" s="62"/>
      <c r="CL63" s="43">
        <f>'Variante Vorgaben'!$C$43</f>
        <v>660</v>
      </c>
      <c r="CM63" s="271">
        <f t="shared" si="85"/>
        <v>2.2463488324581785E-2</v>
      </c>
      <c r="CN63" s="3" t="s">
        <v>67</v>
      </c>
      <c r="CO63" s="4" t="s">
        <v>65</v>
      </c>
      <c r="CP63" s="46"/>
      <c r="CQ63" s="46"/>
      <c r="CR63" s="62"/>
      <c r="CS63" s="43">
        <f>'Variante Vorgaben'!$C$43</f>
        <v>660</v>
      </c>
      <c r="CT63" s="271">
        <f t="shared" si="87"/>
        <v>2.2461334694633347E-2</v>
      </c>
      <c r="CU63" s="3" t="s">
        <v>67</v>
      </c>
      <c r="CV63" s="4" t="s">
        <v>65</v>
      </c>
      <c r="CW63" s="46"/>
      <c r="CX63" s="46"/>
      <c r="CY63" s="62"/>
      <c r="CZ63" s="43">
        <f>'Variante Vorgaben'!$C$43</f>
        <v>660</v>
      </c>
      <c r="DA63" s="271">
        <f t="shared" si="89"/>
        <v>2.2459162100514022E-2</v>
      </c>
      <c r="DB63" s="3" t="s">
        <v>67</v>
      </c>
      <c r="DC63" s="4" t="s">
        <v>65</v>
      </c>
      <c r="DD63" s="46"/>
      <c r="DE63" s="46"/>
      <c r="DF63" s="62"/>
      <c r="DG63" s="43">
        <f>'Variante Vorgaben'!$C$43</f>
        <v>660</v>
      </c>
      <c r="DH63" s="271">
        <f t="shared" si="91"/>
        <v>2.2456970378989517E-2</v>
      </c>
      <c r="DI63" s="3" t="s">
        <v>67</v>
      </c>
      <c r="DJ63" s="4" t="s">
        <v>65</v>
      </c>
      <c r="DK63" s="46"/>
      <c r="DL63" s="46"/>
      <c r="DM63" s="62"/>
      <c r="DN63" s="43">
        <f>'Variante Vorgaben'!$C$43</f>
        <v>660</v>
      </c>
      <c r="DO63" s="271">
        <f t="shared" si="93"/>
        <v>2.24547593654877E-2</v>
      </c>
      <c r="DP63" s="3" t="s">
        <v>67</v>
      </c>
      <c r="DQ63" s="4" t="s">
        <v>65</v>
      </c>
      <c r="DR63" s="46"/>
      <c r="DS63" s="46"/>
      <c r="DT63" s="62"/>
      <c r="DU63" s="43">
        <f>'Variante Vorgaben'!$C$43</f>
        <v>660</v>
      </c>
      <c r="DV63" s="271">
        <f t="shared" si="95"/>
        <v>2.2452528894088827E-2</v>
      </c>
      <c r="DW63" s="3" t="s">
        <v>67</v>
      </c>
      <c r="DX63" s="4" t="s">
        <v>65</v>
      </c>
      <c r="DY63" s="46"/>
      <c r="DZ63" s="46"/>
      <c r="EA63" s="62"/>
      <c r="EB63" s="43">
        <f>'Variante Vorgaben'!$C$43</f>
        <v>660</v>
      </c>
      <c r="EC63" s="271">
        <f t="shared" si="97"/>
        <v>2.2450278797515762E-2</v>
      </c>
      <c r="ED63" s="3" t="s">
        <v>67</v>
      </c>
      <c r="EE63" s="4" t="s">
        <v>65</v>
      </c>
      <c r="EF63" s="46"/>
      <c r="EG63" s="46"/>
      <c r="EH63" s="62"/>
      <c r="EI63" s="43">
        <f>'Variante Vorgaben'!$C$43</f>
        <v>660</v>
      </c>
      <c r="EJ63" s="271">
        <f t="shared" si="99"/>
        <v>1.8643398267430149E-2</v>
      </c>
    </row>
    <row r="64" spans="1:140" s="1" customFormat="1" x14ac:dyDescent="0.2">
      <c r="B64" s="1" t="s">
        <v>172</v>
      </c>
      <c r="C64" s="226">
        <f>'Variante Vorgaben'!$C$42</f>
        <v>0.6</v>
      </c>
      <c r="D64" s="276">
        <f>'Variante Vorgaben'!$C$41</f>
        <v>1.4999999999999999E-2</v>
      </c>
      <c r="E64" s="229">
        <f>(F70)*(-1)</f>
        <v>84975.419771157554</v>
      </c>
      <c r="F64" s="228">
        <f>D64*E64*C64</f>
        <v>764.77877794041797</v>
      </c>
      <c r="G64" s="271">
        <f t="shared" si="21"/>
        <v>7.5318927265525359E-2</v>
      </c>
      <c r="I64" s="1" t="s">
        <v>172</v>
      </c>
      <c r="J64" s="226">
        <f>'Variante Vorgaben'!$C$42</f>
        <v>0.6</v>
      </c>
      <c r="K64" s="276">
        <f>'Variante Vorgaben'!$C$41</f>
        <v>1.4999999999999999E-2</v>
      </c>
      <c r="L64" s="229">
        <f>(M70)*(-1)</f>
        <v>94029.292186842751</v>
      </c>
      <c r="M64" s="228">
        <f>K64*L64*J64</f>
        <v>846.26362968158469</v>
      </c>
      <c r="N64" s="271">
        <f t="shared" si="63"/>
        <v>6.8002417882596797E-2</v>
      </c>
      <c r="P64" s="1" t="s">
        <v>172</v>
      </c>
      <c r="Q64" s="226">
        <f>'Variante Vorgaben'!$C$42</f>
        <v>0.6</v>
      </c>
      <c r="R64" s="276">
        <f>'Variante Vorgaben'!$C$41</f>
        <v>1.4999999999999999E-2</v>
      </c>
      <c r="S64" s="229">
        <f>(T70)*(-1)</f>
        <v>102751.90307027666</v>
      </c>
      <c r="T64" s="228">
        <f>R64*S64*Q64</f>
        <v>924.76712763248997</v>
      </c>
      <c r="U64" s="271">
        <f t="shared" si="65"/>
        <v>5.0406258991738999E-2</v>
      </c>
      <c r="W64" s="1" t="s">
        <v>172</v>
      </c>
      <c r="X64" s="226">
        <f>'Variante Vorgaben'!$C$42</f>
        <v>0.6</v>
      </c>
      <c r="Y64" s="276">
        <f>'Variante Vorgaben'!$C$41</f>
        <v>1.4999999999999999E-2</v>
      </c>
      <c r="Z64" s="229">
        <f>(AA70)*(-1)</f>
        <v>115628.17883305543</v>
      </c>
      <c r="AA64" s="228">
        <f>Y64*Z64*X64</f>
        <v>1040.6536094974988</v>
      </c>
      <c r="AB64" s="271">
        <f t="shared" si="67"/>
        <v>5.1149449392222969E-2</v>
      </c>
      <c r="AD64" s="1" t="s">
        <v>172</v>
      </c>
      <c r="AE64" s="226">
        <f>'Variante Vorgaben'!$C$42</f>
        <v>0.6</v>
      </c>
      <c r="AF64" s="276">
        <f>'Variante Vorgaben'!$C$41</f>
        <v>1.4999999999999999E-2</v>
      </c>
      <c r="AG64" s="229">
        <f>(AH70)*(-1)</f>
        <v>126133.53194756471</v>
      </c>
      <c r="AH64" s="228">
        <f>AF64*AG64*AE64</f>
        <v>1135.2017875280824</v>
      </c>
      <c r="AI64" s="271">
        <f t="shared" si="69"/>
        <v>4.2704521471172187E-2</v>
      </c>
      <c r="AK64" s="1" t="s">
        <v>172</v>
      </c>
      <c r="AL64" s="226">
        <f>'Variante Vorgaben'!$C$42</f>
        <v>0.6</v>
      </c>
      <c r="AM64" s="276">
        <f>'Variante Vorgaben'!$C$41</f>
        <v>1.4999999999999999E-2</v>
      </c>
      <c r="AN64" s="229">
        <f>(AO70)*(-1)</f>
        <v>134136.23908068184</v>
      </c>
      <c r="AO64" s="228">
        <f>AM64*AN64*AL64</f>
        <v>1207.2261517261365</v>
      </c>
      <c r="AP64" s="271">
        <f t="shared" si="71"/>
        <v>4.1115280574707716E-2</v>
      </c>
      <c r="AR64" s="1" t="s">
        <v>172</v>
      </c>
      <c r="AS64" s="226">
        <f>'Variante Vorgaben'!$C$42</f>
        <v>0.6</v>
      </c>
      <c r="AT64" s="276">
        <f>'Variante Vorgaben'!$C$41</f>
        <v>1.4999999999999999E-2</v>
      </c>
      <c r="AU64" s="229">
        <f>(AV70)*(-1)</f>
        <v>134430.2216538658</v>
      </c>
      <c r="AV64" s="228">
        <f>AT64*AU64*AS64</f>
        <v>1209.8719948847922</v>
      </c>
      <c r="AW64" s="271">
        <f t="shared" si="73"/>
        <v>4.120167903134267E-2</v>
      </c>
      <c r="AY64" s="1" t="s">
        <v>172</v>
      </c>
      <c r="AZ64" s="226">
        <f>'Variante Vorgaben'!$C$42</f>
        <v>0.6</v>
      </c>
      <c r="BA64" s="276">
        <f>'Variante Vorgaben'!$C$41</f>
        <v>1.4999999999999999E-2</v>
      </c>
      <c r="BB64" s="229">
        <f>(BC70)*(-1)</f>
        <v>134726.8500702084</v>
      </c>
      <c r="BC64" s="228">
        <f>BA64*BB64*AZ64</f>
        <v>1212.5416506318754</v>
      </c>
      <c r="BD64" s="271">
        <f t="shared" si="75"/>
        <v>4.1288839295170292E-2</v>
      </c>
      <c r="BF64" s="1" t="s">
        <v>172</v>
      </c>
      <c r="BG64" s="226">
        <f>'Variante Vorgaben'!$C$42</f>
        <v>0.6</v>
      </c>
      <c r="BH64" s="276">
        <f>'Variante Vorgaben'!$C$41</f>
        <v>1.4999999999999999E-2</v>
      </c>
      <c r="BI64" s="229">
        <f>(BJ70)*(-1)</f>
        <v>135026.1481422981</v>
      </c>
      <c r="BJ64" s="228">
        <f>BH64*BI64*BG64</f>
        <v>1215.2353332806829</v>
      </c>
      <c r="BK64" s="271">
        <f t="shared" si="77"/>
        <v>4.1376767941537447E-2</v>
      </c>
      <c r="BM64" s="1" t="s">
        <v>172</v>
      </c>
      <c r="BN64" s="226">
        <f>'Variante Vorgaben'!$C$42</f>
        <v>0.6</v>
      </c>
      <c r="BO64" s="276">
        <f>'Variante Vorgaben'!$C$41</f>
        <v>1.4999999999999999E-2</v>
      </c>
      <c r="BP64" s="229">
        <f>(BQ70)*(-1)</f>
        <v>135328.1398970366</v>
      </c>
      <c r="BQ64" s="228">
        <f>BO64*BP64*BN64</f>
        <v>1217.9532590733293</v>
      </c>
      <c r="BR64" s="271">
        <f t="shared" si="79"/>
        <v>4.1465471600007492E-2</v>
      </c>
      <c r="BT64" s="1" t="s">
        <v>172</v>
      </c>
      <c r="BU64" s="226">
        <f>'Variante Vorgaben'!$C$42</f>
        <v>0.6</v>
      </c>
      <c r="BV64" s="276">
        <f>'Variante Vorgaben'!$C$41</f>
        <v>1.4999999999999999E-2</v>
      </c>
      <c r="BW64" s="229">
        <f>(BX70)*(-1)</f>
        <v>135632.84957756774</v>
      </c>
      <c r="BX64" s="228">
        <f>BV64*BW64*BU64</f>
        <v>1220.6956461981097</v>
      </c>
      <c r="BY64" s="271">
        <f t="shared" si="81"/>
        <v>4.1554956954761774E-2</v>
      </c>
      <c r="CA64" s="1" t="s">
        <v>172</v>
      </c>
      <c r="CB64" s="226">
        <f>'Variante Vorgaben'!$C$42</f>
        <v>0.6</v>
      </c>
      <c r="CC64" s="276">
        <f>'Variante Vorgaben'!$C$41</f>
        <v>1.4999999999999999E-2</v>
      </c>
      <c r="CD64" s="229">
        <f>(CE70)*(-1)</f>
        <v>135940.30164522366</v>
      </c>
      <c r="CE64" s="228">
        <f>CC64*CD64*CB64</f>
        <v>1223.4627148070128</v>
      </c>
      <c r="CF64" s="271">
        <f t="shared" si="83"/>
        <v>4.1645230745003051E-2</v>
      </c>
      <c r="CH64" s="1" t="s">
        <v>172</v>
      </c>
      <c r="CI64" s="226">
        <f>'Variante Vorgaben'!$C$42</f>
        <v>0.6</v>
      </c>
      <c r="CJ64" s="276">
        <f>'Variante Vorgaben'!$C$41</f>
        <v>1.4999999999999999E-2</v>
      </c>
      <c r="CK64" s="229">
        <f>(CL70)*(-1)</f>
        <v>136250.52078148848</v>
      </c>
      <c r="CL64" s="228">
        <f>CJ64*CK64*CI64</f>
        <v>1226.2546870333961</v>
      </c>
      <c r="CM64" s="271">
        <f t="shared" si="85"/>
        <v>4.1736299765361189E-2</v>
      </c>
      <c r="CO64" s="1" t="s">
        <v>172</v>
      </c>
      <c r="CP64" s="226">
        <f>'Variante Vorgaben'!$C$42</f>
        <v>0.6</v>
      </c>
      <c r="CQ64" s="276">
        <f>'Variante Vorgaben'!$C$41</f>
        <v>1.4999999999999999E-2</v>
      </c>
      <c r="CR64" s="229">
        <f>(CS70)*(-1)</f>
        <v>136563.5318899797</v>
      </c>
      <c r="CS64" s="228">
        <f>CQ64*CR64*CP64</f>
        <v>1229.0717870098172</v>
      </c>
      <c r="CT64" s="271">
        <f t="shared" si="87"/>
        <v>4.1828170866300932E-2</v>
      </c>
      <c r="CV64" s="1" t="s">
        <v>172</v>
      </c>
      <c r="CW64" s="226">
        <f>'Variante Vorgaben'!$C$42</f>
        <v>0.6</v>
      </c>
      <c r="CX64" s="276">
        <f>'Variante Vorgaben'!$C$41</f>
        <v>1.4999999999999999E-2</v>
      </c>
      <c r="CY64" s="229">
        <f>(CZ70)*(-1)</f>
        <v>136879.36009844733</v>
      </c>
      <c r="CZ64" s="228">
        <f>CX64*CY64*CW64</f>
        <v>1231.9142408860257</v>
      </c>
      <c r="DA64" s="271">
        <f t="shared" si="89"/>
        <v>4.1920850954531713E-2</v>
      </c>
      <c r="DC64" s="1" t="s">
        <v>172</v>
      </c>
      <c r="DD64" s="226">
        <f>'Variante Vorgaben'!$C$42</f>
        <v>0.6</v>
      </c>
      <c r="DE64" s="276">
        <f>'Variante Vorgaben'!$C$41</f>
        <v>1.4999999999999999E-2</v>
      </c>
      <c r="DF64" s="229">
        <f>(DG70)*(-1)</f>
        <v>137198.03076079115</v>
      </c>
      <c r="DG64" s="228">
        <f>DE64*DF64*DD64</f>
        <v>1234.7822768471203</v>
      </c>
      <c r="DH64" s="271">
        <f t="shared" si="91"/>
        <v>4.2014346993419723E-2</v>
      </c>
      <c r="DJ64" s="1" t="s">
        <v>172</v>
      </c>
      <c r="DK64" s="226">
        <f>'Variante Vorgaben'!$C$42</f>
        <v>0.6</v>
      </c>
      <c r="DL64" s="276">
        <f>'Variante Vorgaben'!$C$41</f>
        <v>1.4999999999999999E-2</v>
      </c>
      <c r="DM64" s="229">
        <f>(DN70)*(-1)</f>
        <v>137519.56945909609</v>
      </c>
      <c r="DN64" s="228">
        <f>DL64*DM64*DK64</f>
        <v>1237.6761251318646</v>
      </c>
      <c r="DO64" s="271">
        <f t="shared" si="93"/>
        <v>4.2108666003401914E-2</v>
      </c>
      <c r="DQ64" s="1" t="s">
        <v>172</v>
      </c>
      <c r="DR64" s="226">
        <f>'Variante Vorgaben'!$C$42</f>
        <v>0.6</v>
      </c>
      <c r="DS64" s="276">
        <f>'Variante Vorgaben'!$C$41</f>
        <v>1.4999999999999999E-2</v>
      </c>
      <c r="DT64" s="229">
        <f>(DU70)*(-1)</f>
        <v>137844.00200568576</v>
      </c>
      <c r="DU64" s="228">
        <f>DS64*DT64*DR64</f>
        <v>1240.5960180511718</v>
      </c>
      <c r="DV64" s="271">
        <f t="shared" si="95"/>
        <v>4.2203815062402242E-2</v>
      </c>
      <c r="DX64" s="1" t="s">
        <v>172</v>
      </c>
      <c r="DY64" s="226">
        <f>'Variante Vorgaben'!$C$42</f>
        <v>0.6</v>
      </c>
      <c r="DZ64" s="276">
        <f>'Variante Vorgaben'!$C$41</f>
        <v>1.4999999999999999E-2</v>
      </c>
      <c r="EA64" s="229">
        <f>(EB70)*(-1)</f>
        <v>138171.35444519474</v>
      </c>
      <c r="EB64" s="228">
        <f>DZ64*EA64*DY64</f>
        <v>1243.5421900067524</v>
      </c>
      <c r="EC64" s="271">
        <f t="shared" si="97"/>
        <v>4.2299801306249864E-2</v>
      </c>
      <c r="EE64" s="1" t="s">
        <v>172</v>
      </c>
      <c r="EF64" s="226">
        <f>'Variante Vorgaben'!$C$42</f>
        <v>0.6</v>
      </c>
      <c r="EG64" s="276">
        <f>'Variante Vorgaben'!$C$41</f>
        <v>1.4999999999999999E-2</v>
      </c>
      <c r="EH64" s="229">
        <f>(EI70)*(-1)</f>
        <v>138501.6530566593</v>
      </c>
      <c r="EI64" s="228">
        <f>EG64*EH64*EF64</f>
        <v>1246.5148775099335</v>
      </c>
      <c r="EJ64" s="271">
        <f t="shared" si="99"/>
        <v>3.5211020163173637E-2</v>
      </c>
    </row>
    <row r="65" spans="1:249" s="1" customFormat="1" x14ac:dyDescent="0.2">
      <c r="C65" s="226"/>
      <c r="D65" s="276"/>
      <c r="E65" s="229"/>
      <c r="F65" s="121">
        <f>SUM(F63:F64)</f>
        <v>1424.778777940418</v>
      </c>
      <c r="G65" s="271">
        <f t="shared" si="21"/>
        <v>0.1403187591503996</v>
      </c>
      <c r="J65" s="226"/>
      <c r="K65" s="276"/>
      <c r="L65" s="229"/>
      <c r="M65" s="121">
        <f>SUM(M63:M64)</f>
        <v>1506.2636296815847</v>
      </c>
      <c r="N65" s="271">
        <f t="shared" si="63"/>
        <v>0.1210374228483674</v>
      </c>
      <c r="Q65" s="226"/>
      <c r="R65" s="276"/>
      <c r="S65" s="229"/>
      <c r="T65" s="121">
        <f>SUM(T63:T64)</f>
        <v>1584.76712763249</v>
      </c>
      <c r="U65" s="271">
        <f t="shared" si="65"/>
        <v>8.6380862695179417E-2</v>
      </c>
      <c r="X65" s="226"/>
      <c r="Y65" s="276"/>
      <c r="Z65" s="229"/>
      <c r="AA65" s="121">
        <f>SUM(AA63:AA64)</f>
        <v>1700.6536094974988</v>
      </c>
      <c r="AB65" s="271">
        <f t="shared" si="67"/>
        <v>8.3589289403125558E-2</v>
      </c>
      <c r="AE65" s="226"/>
      <c r="AF65" s="276"/>
      <c r="AG65" s="229"/>
      <c r="AH65" s="121">
        <f>SUM(AH63:AH64)</f>
        <v>1795.2017875280824</v>
      </c>
      <c r="AI65" s="271">
        <f t="shared" si="69"/>
        <v>6.7532692533470134E-2</v>
      </c>
      <c r="AL65" s="226"/>
      <c r="AM65" s="276"/>
      <c r="AN65" s="229"/>
      <c r="AO65" s="121">
        <f>SUM(AO63:AO64)</f>
        <v>1867.2261517261365</v>
      </c>
      <c r="AP65" s="271">
        <f t="shared" si="71"/>
        <v>6.3593326747338183E-2</v>
      </c>
      <c r="AS65" s="226"/>
      <c r="AT65" s="276"/>
      <c r="AU65" s="229"/>
      <c r="AV65" s="121">
        <f>SUM(AV63:AV64)</f>
        <v>1869.8719948847922</v>
      </c>
      <c r="AW65" s="271">
        <f t="shared" si="73"/>
        <v>6.3677699863013845E-2</v>
      </c>
      <c r="AZ65" s="226"/>
      <c r="BA65" s="276"/>
      <c r="BB65" s="229"/>
      <c r="BC65" s="121">
        <f>SUM(BC63:BC64)</f>
        <v>1872.5416506318754</v>
      </c>
      <c r="BD65" s="271">
        <f t="shared" si="75"/>
        <v>6.3762816927700805E-2</v>
      </c>
      <c r="BG65" s="226"/>
      <c r="BH65" s="276"/>
      <c r="BI65" s="229"/>
      <c r="BJ65" s="121">
        <f>SUM(BJ63:BJ64)</f>
        <v>1875.2353332806829</v>
      </c>
      <c r="BK65" s="271">
        <f t="shared" si="77"/>
        <v>6.3848684362607502E-2</v>
      </c>
      <c r="BN65" s="226"/>
      <c r="BO65" s="276"/>
      <c r="BP65" s="229"/>
      <c r="BQ65" s="121">
        <f>SUM(BQ63:BQ64)</f>
        <v>1877.9532590733293</v>
      </c>
      <c r="BR65" s="271">
        <f t="shared" si="79"/>
        <v>6.393530864188797E-2</v>
      </c>
      <c r="BU65" s="226"/>
      <c r="BV65" s="276"/>
      <c r="BW65" s="229"/>
      <c r="BX65" s="121">
        <f>SUM(BX63:BX64)</f>
        <v>1880.6956461981097</v>
      </c>
      <c r="BY65" s="271">
        <f t="shared" si="81"/>
        <v>6.4022696293033893E-2</v>
      </c>
      <c r="CB65" s="226"/>
      <c r="CC65" s="276"/>
      <c r="CD65" s="229"/>
      <c r="CE65" s="121">
        <f>SUM(CE63:CE64)</f>
        <v>1883.4627148070128</v>
      </c>
      <c r="CF65" s="271">
        <f t="shared" si="83"/>
        <v>6.4110853897268533E-2</v>
      </c>
      <c r="CI65" s="226"/>
      <c r="CJ65" s="276"/>
      <c r="CK65" s="229"/>
      <c r="CL65" s="121">
        <f>SUM(CL63:CL64)</f>
        <v>1886.2546870333961</v>
      </c>
      <c r="CM65" s="271">
        <f t="shared" si="85"/>
        <v>6.4199788089942963E-2</v>
      </c>
      <c r="CP65" s="226"/>
      <c r="CQ65" s="276"/>
      <c r="CR65" s="229"/>
      <c r="CS65" s="121">
        <f>SUM(CS63:CS64)</f>
        <v>1889.0717870098172</v>
      </c>
      <c r="CT65" s="271">
        <f t="shared" si="87"/>
        <v>6.4289505560934282E-2</v>
      </c>
      <c r="CW65" s="226"/>
      <c r="CX65" s="276"/>
      <c r="CY65" s="229"/>
      <c r="CZ65" s="121">
        <f>SUM(CZ63:CZ64)</f>
        <v>1891.9142408860257</v>
      </c>
      <c r="DA65" s="271">
        <f t="shared" si="89"/>
        <v>6.4380013055045732E-2</v>
      </c>
      <c r="DD65" s="226"/>
      <c r="DE65" s="276"/>
      <c r="DF65" s="229"/>
      <c r="DG65" s="121">
        <f>SUM(DG63:DG64)</f>
        <v>1894.7822768471203</v>
      </c>
      <c r="DH65" s="271">
        <f t="shared" si="91"/>
        <v>6.4471317372409243E-2</v>
      </c>
      <c r="DK65" s="226"/>
      <c r="DL65" s="276"/>
      <c r="DM65" s="229"/>
      <c r="DN65" s="121">
        <f>SUM(DN63:DN64)</f>
        <v>1897.6761251318646</v>
      </c>
      <c r="DO65" s="271">
        <f t="shared" si="93"/>
        <v>6.4563425368889607E-2</v>
      </c>
      <c r="DR65" s="226"/>
      <c r="DS65" s="276"/>
      <c r="DT65" s="229"/>
      <c r="DU65" s="121">
        <f>SUM(DU63:DU64)</f>
        <v>1900.5960180511718</v>
      </c>
      <c r="DV65" s="271">
        <f t="shared" si="95"/>
        <v>6.4656343956491072E-2</v>
      </c>
      <c r="DY65" s="226"/>
      <c r="DZ65" s="276"/>
      <c r="EA65" s="229"/>
      <c r="EB65" s="121">
        <f>SUM(EB63:EB64)</f>
        <v>1903.5421900067524</v>
      </c>
      <c r="EC65" s="271">
        <f t="shared" si="97"/>
        <v>6.4750080103765623E-2</v>
      </c>
      <c r="EF65" s="226"/>
      <c r="EG65" s="276"/>
      <c r="EH65" s="229"/>
      <c r="EI65" s="121">
        <f>SUM(EI63:EI64)</f>
        <v>1906.5148775099335</v>
      </c>
      <c r="EJ65" s="271">
        <f t="shared" si="99"/>
        <v>5.385441843060379E-2</v>
      </c>
    </row>
    <row r="66" spans="1:249" ht="13.5" thickBot="1" x14ac:dyDescent="0.25">
      <c r="A66" s="614" t="s">
        <v>35</v>
      </c>
      <c r="B66" s="615"/>
      <c r="C66" s="442"/>
      <c r="D66" s="634"/>
      <c r="E66" s="559"/>
      <c r="F66" s="618">
        <f>F65+F62+F50+F37</f>
        <v>7827.072415685202</v>
      </c>
      <c r="G66" s="42">
        <f t="shared" ref="G66:G67" si="117">F66/$F$67</f>
        <v>0.77084604722768879</v>
      </c>
      <c r="H66" s="614" t="s">
        <v>35</v>
      </c>
      <c r="I66" s="615"/>
      <c r="J66" s="442"/>
      <c r="K66" s="634"/>
      <c r="L66" s="559"/>
      <c r="M66" s="618">
        <f>M65+M62+M50+M37</f>
        <v>9465.5608834339055</v>
      </c>
      <c r="N66" s="42">
        <f t="shared" si="63"/>
        <v>0.7606152552374561</v>
      </c>
      <c r="O66" s="614" t="s">
        <v>35</v>
      </c>
      <c r="P66" s="615"/>
      <c r="Q66" s="442"/>
      <c r="R66" s="634"/>
      <c r="S66" s="559"/>
      <c r="T66" s="618">
        <f>T65+T62+T50+T37</f>
        <v>14622.475762778759</v>
      </c>
      <c r="U66" s="42">
        <f t="shared" si="65"/>
        <v>0.79702692534716446</v>
      </c>
      <c r="V66" s="614" t="s">
        <v>35</v>
      </c>
      <c r="W66" s="615"/>
      <c r="X66" s="442"/>
      <c r="Y66" s="634"/>
      <c r="Z66" s="559"/>
      <c r="AA66" s="618">
        <f>AA65+AA62+AA50+AA37</f>
        <v>16045.55311450929</v>
      </c>
      <c r="AB66" s="42">
        <f t="shared" si="67"/>
        <v>0.78865935745624405</v>
      </c>
      <c r="AC66" s="614" t="s">
        <v>35</v>
      </c>
      <c r="AD66" s="615"/>
      <c r="AE66" s="442"/>
      <c r="AF66" s="634"/>
      <c r="AG66" s="559"/>
      <c r="AH66" s="618">
        <f>AH65+AH62+AH50+AH37</f>
        <v>19557.907133117129</v>
      </c>
      <c r="AI66" s="42">
        <f t="shared" si="69"/>
        <v>0.73573797563874144</v>
      </c>
      <c r="AJ66" s="614" t="s">
        <v>35</v>
      </c>
      <c r="AK66" s="615"/>
      <c r="AL66" s="442"/>
      <c r="AM66" s="634"/>
      <c r="AN66" s="559"/>
      <c r="AO66" s="618">
        <f>AO65+AO62+AO50+AO37</f>
        <v>21957.182573183949</v>
      </c>
      <c r="AP66" s="42">
        <f t="shared" si="71"/>
        <v>0.74780994500137254</v>
      </c>
      <c r="AQ66" s="614" t="s">
        <v>35</v>
      </c>
      <c r="AR66" s="615"/>
      <c r="AS66" s="442"/>
      <c r="AT66" s="634"/>
      <c r="AU66" s="559"/>
      <c r="AV66" s="618">
        <f>AV65+AV62+AV50+AV37</f>
        <v>21959.828416342607</v>
      </c>
      <c r="AW66" s="42">
        <f t="shared" si="73"/>
        <v>0.74783266809945648</v>
      </c>
      <c r="AX66" s="614" t="s">
        <v>35</v>
      </c>
      <c r="AY66" s="615"/>
      <c r="AZ66" s="442"/>
      <c r="BA66" s="634"/>
      <c r="BB66" s="559"/>
      <c r="BC66" s="618">
        <f>BC65+BC62+BC50+BC37</f>
        <v>21962.498072089689</v>
      </c>
      <c r="BD66" s="42">
        <f t="shared" si="75"/>
        <v>0.74785559155551229</v>
      </c>
      <c r="BE66" s="614" t="s">
        <v>35</v>
      </c>
      <c r="BF66" s="615"/>
      <c r="BG66" s="442"/>
      <c r="BH66" s="634"/>
      <c r="BI66" s="559"/>
      <c r="BJ66" s="618">
        <f>BJ65+BJ62+BJ50+BJ37</f>
        <v>21965.191754738495</v>
      </c>
      <c r="BK66" s="42">
        <f t="shared" si="77"/>
        <v>0.74787871709887954</v>
      </c>
      <c r="BL66" s="614" t="s">
        <v>35</v>
      </c>
      <c r="BM66" s="615"/>
      <c r="BN66" s="442"/>
      <c r="BO66" s="634"/>
      <c r="BP66" s="559"/>
      <c r="BQ66" s="618">
        <f>BQ65+BQ62+BQ50+BQ37</f>
        <v>21967.909680531142</v>
      </c>
      <c r="BR66" s="42">
        <f t="shared" si="79"/>
        <v>0.74790204647315672</v>
      </c>
      <c r="BS66" s="614" t="s">
        <v>35</v>
      </c>
      <c r="BT66" s="615"/>
      <c r="BU66" s="442"/>
      <c r="BV66" s="634"/>
      <c r="BW66" s="559"/>
      <c r="BX66" s="618">
        <f>BX65+BX62+BX50+BX37</f>
        <v>21970.652067655923</v>
      </c>
      <c r="BY66" s="42">
        <f t="shared" si="81"/>
        <v>0.74792558143630705</v>
      </c>
      <c r="BZ66" s="614" t="s">
        <v>35</v>
      </c>
      <c r="CA66" s="615"/>
      <c r="CB66" s="442"/>
      <c r="CC66" s="634"/>
      <c r="CD66" s="559"/>
      <c r="CE66" s="618">
        <f>CE65+CE62+CE50+CE37</f>
        <v>21973.419136264827</v>
      </c>
      <c r="CF66" s="42">
        <f t="shared" si="83"/>
        <v>0.74794932376076451</v>
      </c>
      <c r="CG66" s="614" t="s">
        <v>35</v>
      </c>
      <c r="CH66" s="615"/>
      <c r="CI66" s="442"/>
      <c r="CJ66" s="634"/>
      <c r="CK66" s="559"/>
      <c r="CL66" s="618">
        <f>CL65+CL62+CL50+CL37</f>
        <v>21976.21110849121</v>
      </c>
      <c r="CM66" s="42">
        <f t="shared" si="85"/>
        <v>0.74797327523354062</v>
      </c>
      <c r="CN66" s="614" t="s">
        <v>35</v>
      </c>
      <c r="CO66" s="615"/>
      <c r="CP66" s="442"/>
      <c r="CQ66" s="634"/>
      <c r="CR66" s="559"/>
      <c r="CS66" s="618">
        <f>CS65+CS62+CS50+CS37</f>
        <v>21979.028208467629</v>
      </c>
      <c r="CT66" s="42">
        <f t="shared" si="87"/>
        <v>0.74799743765633186</v>
      </c>
      <c r="CU66" s="614" t="s">
        <v>35</v>
      </c>
      <c r="CV66" s="615"/>
      <c r="CW66" s="442"/>
      <c r="CX66" s="634"/>
      <c r="CY66" s="559"/>
      <c r="CZ66" s="618">
        <f>CZ65+CZ62+CZ50+CZ37</f>
        <v>21981.870662343837</v>
      </c>
      <c r="DA66" s="42">
        <f t="shared" si="89"/>
        <v>0.74802181284562697</v>
      </c>
      <c r="DB66" s="614" t="s">
        <v>35</v>
      </c>
      <c r="DC66" s="615"/>
      <c r="DD66" s="442"/>
      <c r="DE66" s="634"/>
      <c r="DF66" s="559"/>
      <c r="DG66" s="618">
        <f>DG65+DG62+DG50+DG37</f>
        <v>21984.738698304933</v>
      </c>
      <c r="DH66" s="271">
        <f t="shared" si="91"/>
        <v>0.74804640263281585</v>
      </c>
      <c r="DI66" s="614" t="s">
        <v>35</v>
      </c>
      <c r="DJ66" s="615"/>
      <c r="DK66" s="442"/>
      <c r="DL66" s="634"/>
      <c r="DM66" s="559"/>
      <c r="DN66" s="618">
        <f>DN65+DN62+DN50+DN37</f>
        <v>21987.632546589677</v>
      </c>
      <c r="DO66" s="271">
        <f t="shared" si="93"/>
        <v>0.74807120886429801</v>
      </c>
      <c r="DP66" s="614" t="s">
        <v>35</v>
      </c>
      <c r="DQ66" s="615"/>
      <c r="DR66" s="442"/>
      <c r="DS66" s="634"/>
      <c r="DT66" s="559"/>
      <c r="DU66" s="618">
        <f>DU65+DU62+DU50+DU37</f>
        <v>21990.552439508985</v>
      </c>
      <c r="DV66" s="271">
        <f t="shared" si="95"/>
        <v>0.74809623340159248</v>
      </c>
      <c r="DW66" s="614" t="s">
        <v>35</v>
      </c>
      <c r="DX66" s="615"/>
      <c r="DY66" s="442"/>
      <c r="DZ66" s="634"/>
      <c r="EA66" s="559"/>
      <c r="EB66" s="618">
        <f>EB65+EB62+EB50+EB37</f>
        <v>21993.498611464565</v>
      </c>
      <c r="EC66" s="271">
        <f t="shared" si="97"/>
        <v>0.74812147812144747</v>
      </c>
      <c r="ED66" s="614" t="s">
        <v>35</v>
      </c>
      <c r="EE66" s="615"/>
      <c r="EF66" s="442"/>
      <c r="EG66" s="634"/>
      <c r="EH66" s="559"/>
      <c r="EI66" s="618">
        <f>EI65+EI62+EI50+EI37</f>
        <v>21996.471298967746</v>
      </c>
      <c r="EJ66" s="271">
        <f t="shared" si="99"/>
        <v>0.62134693167386712</v>
      </c>
    </row>
    <row r="67" spans="1:249" s="19" customFormat="1" ht="16.5" thickBot="1" x14ac:dyDescent="0.3">
      <c r="A67" s="443" t="s">
        <v>294</v>
      </c>
      <c r="B67" s="564"/>
      <c r="C67" s="1045"/>
      <c r="D67" s="565"/>
      <c r="E67" s="566"/>
      <c r="F67" s="1046">
        <f>F66+F36</f>
        <v>10153.872415685202</v>
      </c>
      <c r="G67" s="1047">
        <f t="shared" si="117"/>
        <v>1</v>
      </c>
      <c r="H67" s="443" t="s">
        <v>280</v>
      </c>
      <c r="I67" s="564"/>
      <c r="J67" s="1045"/>
      <c r="K67" s="565"/>
      <c r="L67" s="566"/>
      <c r="M67" s="1046">
        <f>M66+M36</f>
        <v>12444.610883433907</v>
      </c>
      <c r="N67" s="1047">
        <f t="shared" si="63"/>
        <v>1</v>
      </c>
      <c r="O67" s="443" t="s">
        <v>281</v>
      </c>
      <c r="P67" s="564"/>
      <c r="Q67" s="1045"/>
      <c r="R67" s="565"/>
      <c r="S67" s="566"/>
      <c r="T67" s="1046">
        <f>T66+T36</f>
        <v>18346.275762778758</v>
      </c>
      <c r="U67" s="1047">
        <f t="shared" si="65"/>
        <v>1</v>
      </c>
      <c r="V67" s="443" t="s">
        <v>282</v>
      </c>
      <c r="W67" s="564"/>
      <c r="X67" s="1045"/>
      <c r="Y67" s="565"/>
      <c r="Z67" s="566"/>
      <c r="AA67" s="1046">
        <f>AA66+AA36</f>
        <v>20345.353114509289</v>
      </c>
      <c r="AB67" s="1047">
        <f t="shared" si="67"/>
        <v>1</v>
      </c>
      <c r="AC67" s="443" t="s">
        <v>283</v>
      </c>
      <c r="AD67" s="564"/>
      <c r="AE67" s="1045"/>
      <c r="AF67" s="565"/>
      <c r="AG67" s="566"/>
      <c r="AH67" s="1046">
        <f>AH66+AH36</f>
        <v>26582.707133117128</v>
      </c>
      <c r="AI67" s="1047">
        <f t="shared" si="69"/>
        <v>1</v>
      </c>
      <c r="AJ67" s="443" t="s">
        <v>284</v>
      </c>
      <c r="AK67" s="564"/>
      <c r="AL67" s="1045"/>
      <c r="AM67" s="565"/>
      <c r="AN67" s="566"/>
      <c r="AO67" s="1046">
        <f>AO66+AO36</f>
        <v>29361.982573183948</v>
      </c>
      <c r="AP67" s="1047">
        <f t="shared" si="71"/>
        <v>1</v>
      </c>
      <c r="AQ67" s="443" t="s">
        <v>285</v>
      </c>
      <c r="AR67" s="564"/>
      <c r="AS67" s="1045"/>
      <c r="AT67" s="565"/>
      <c r="AU67" s="566"/>
      <c r="AV67" s="1046">
        <f>AV66+AV36</f>
        <v>29364.628416342606</v>
      </c>
      <c r="AW67" s="1047">
        <f t="shared" si="73"/>
        <v>1</v>
      </c>
      <c r="AX67" s="443" t="s">
        <v>286</v>
      </c>
      <c r="AY67" s="564"/>
      <c r="AZ67" s="1045"/>
      <c r="BA67" s="565"/>
      <c r="BB67" s="566"/>
      <c r="BC67" s="1046">
        <f>BC66+BC36</f>
        <v>29367.298072089689</v>
      </c>
      <c r="BD67" s="1047">
        <f t="shared" si="75"/>
        <v>1</v>
      </c>
      <c r="BE67" s="443" t="s">
        <v>287</v>
      </c>
      <c r="BF67" s="564"/>
      <c r="BG67" s="1045"/>
      <c r="BH67" s="565"/>
      <c r="BI67" s="566"/>
      <c r="BJ67" s="1046">
        <f>BJ66+BJ36</f>
        <v>29369.991754738494</v>
      </c>
      <c r="BK67" s="1047">
        <f t="shared" si="77"/>
        <v>1</v>
      </c>
      <c r="BL67" s="443" t="s">
        <v>288</v>
      </c>
      <c r="BM67" s="564"/>
      <c r="BN67" s="1045"/>
      <c r="BO67" s="565"/>
      <c r="BP67" s="566"/>
      <c r="BQ67" s="1046">
        <f>BQ66+BQ36</f>
        <v>29372.709680531141</v>
      </c>
      <c r="BR67" s="1047">
        <f t="shared" si="79"/>
        <v>1</v>
      </c>
      <c r="BS67" s="443" t="s">
        <v>289</v>
      </c>
      <c r="BT67" s="564"/>
      <c r="BU67" s="1045"/>
      <c r="BV67" s="565"/>
      <c r="BW67" s="566"/>
      <c r="BX67" s="1046">
        <f>BX66+BX36</f>
        <v>29375.452067655922</v>
      </c>
      <c r="BY67" s="1047">
        <f t="shared" si="81"/>
        <v>1</v>
      </c>
      <c r="BZ67" s="443" t="s">
        <v>290</v>
      </c>
      <c r="CA67" s="564"/>
      <c r="CB67" s="1045"/>
      <c r="CC67" s="565"/>
      <c r="CD67" s="566"/>
      <c r="CE67" s="1046">
        <f>CE66+CE36</f>
        <v>29378.219136264826</v>
      </c>
      <c r="CF67" s="1047">
        <f t="shared" si="83"/>
        <v>1</v>
      </c>
      <c r="CG67" s="443" t="s">
        <v>291</v>
      </c>
      <c r="CH67" s="564"/>
      <c r="CI67" s="1045"/>
      <c r="CJ67" s="565"/>
      <c r="CK67" s="566"/>
      <c r="CL67" s="1046">
        <f>CL66+CL36</f>
        <v>29381.01110849121</v>
      </c>
      <c r="CM67" s="1047">
        <f t="shared" si="85"/>
        <v>1</v>
      </c>
      <c r="CN67" s="443" t="s">
        <v>292</v>
      </c>
      <c r="CO67" s="564"/>
      <c r="CP67" s="1045"/>
      <c r="CQ67" s="565"/>
      <c r="CR67" s="566"/>
      <c r="CS67" s="1046">
        <f>CS66+CS36</f>
        <v>29383.828208467628</v>
      </c>
      <c r="CT67" s="1047">
        <f t="shared" si="87"/>
        <v>1</v>
      </c>
      <c r="CU67" s="443" t="s">
        <v>293</v>
      </c>
      <c r="CV67" s="564"/>
      <c r="CW67" s="1045"/>
      <c r="CX67" s="565"/>
      <c r="CY67" s="566"/>
      <c r="CZ67" s="1048">
        <f>CZ66+CZ36</f>
        <v>29386.670662343837</v>
      </c>
      <c r="DA67" s="1047">
        <f t="shared" si="89"/>
        <v>1</v>
      </c>
      <c r="DB67" s="443" t="s">
        <v>372</v>
      </c>
      <c r="DC67" s="564"/>
      <c r="DD67" s="1045"/>
      <c r="DE67" s="565"/>
      <c r="DF67" s="566"/>
      <c r="DG67" s="1048">
        <f>DG66+DG36</f>
        <v>29389.538698304932</v>
      </c>
      <c r="DH67" s="211">
        <f t="shared" si="91"/>
        <v>1</v>
      </c>
      <c r="DI67" s="443" t="s">
        <v>373</v>
      </c>
      <c r="DJ67" s="564"/>
      <c r="DK67" s="1045"/>
      <c r="DL67" s="565"/>
      <c r="DM67" s="566"/>
      <c r="DN67" s="1048">
        <f>DN66+DN36</f>
        <v>29392.432546589676</v>
      </c>
      <c r="DO67" s="211">
        <f t="shared" si="93"/>
        <v>1</v>
      </c>
      <c r="DP67" s="443" t="s">
        <v>374</v>
      </c>
      <c r="DQ67" s="564"/>
      <c r="DR67" s="1045"/>
      <c r="DS67" s="565"/>
      <c r="DT67" s="566"/>
      <c r="DU67" s="1048">
        <f>DU66+DU36</f>
        <v>29395.352439508984</v>
      </c>
      <c r="DV67" s="211">
        <f t="shared" si="95"/>
        <v>1</v>
      </c>
      <c r="DW67" s="443" t="s">
        <v>375</v>
      </c>
      <c r="DX67" s="564"/>
      <c r="DY67" s="1045"/>
      <c r="DZ67" s="565"/>
      <c r="EA67" s="566"/>
      <c r="EB67" s="1048">
        <f>EB66+EB36</f>
        <v>29398.298611464565</v>
      </c>
      <c r="EC67" s="211">
        <f t="shared" si="97"/>
        <v>1</v>
      </c>
      <c r="ED67" s="443" t="s">
        <v>376</v>
      </c>
      <c r="EE67" s="564"/>
      <c r="EF67" s="1045"/>
      <c r="EG67" s="565"/>
      <c r="EH67" s="566"/>
      <c r="EI67" s="1048">
        <f>EI66+EI36+EE73</f>
        <v>35401.271298967746</v>
      </c>
      <c r="EJ67" s="211">
        <f t="shared" si="99"/>
        <v>1</v>
      </c>
    </row>
    <row r="68" spans="1:249" x14ac:dyDescent="0.2">
      <c r="A68" s="21" t="s">
        <v>257</v>
      </c>
      <c r="B68"/>
      <c r="C68"/>
      <c r="D68"/>
      <c r="E68"/>
      <c r="F68" s="38">
        <f>F14</f>
        <v>1100</v>
      </c>
      <c r="G68" s="13"/>
      <c r="H68" s="21" t="s">
        <v>257</v>
      </c>
      <c r="I68"/>
      <c r="M68" s="38">
        <f>M14</f>
        <v>3722</v>
      </c>
      <c r="N68" s="50"/>
      <c r="O68" s="21" t="s">
        <v>257</v>
      </c>
      <c r="R68"/>
      <c r="T68" s="38">
        <f>T14</f>
        <v>5470</v>
      </c>
      <c r="U68" s="50"/>
      <c r="V68" s="21" t="s">
        <v>257</v>
      </c>
      <c r="AA68" s="38">
        <f>AA14</f>
        <v>9840</v>
      </c>
      <c r="AB68" s="50"/>
      <c r="AC68" s="21" t="s">
        <v>257</v>
      </c>
      <c r="AH68" s="38">
        <f>AH14</f>
        <v>18580</v>
      </c>
      <c r="AI68" s="50"/>
      <c r="AJ68" s="21" t="s">
        <v>257</v>
      </c>
      <c r="AO68" s="38">
        <f>AO14</f>
        <v>29068</v>
      </c>
      <c r="AP68" s="50"/>
      <c r="AQ68" s="21" t="s">
        <v>257</v>
      </c>
      <c r="AV68" s="38">
        <f>AV14</f>
        <v>29068</v>
      </c>
      <c r="AW68" s="50"/>
      <c r="AX68" s="21" t="s">
        <v>257</v>
      </c>
      <c r="BC68" s="38">
        <f>BC14</f>
        <v>29068</v>
      </c>
      <c r="BD68" s="50"/>
      <c r="BE68" s="21" t="s">
        <v>257</v>
      </c>
      <c r="BJ68" s="38">
        <f>BJ14</f>
        <v>29068</v>
      </c>
      <c r="BK68" s="50"/>
      <c r="BL68" s="21" t="s">
        <v>257</v>
      </c>
      <c r="BQ68" s="38">
        <f>BQ14</f>
        <v>29068</v>
      </c>
      <c r="BR68" s="50"/>
      <c r="BS68" s="21" t="s">
        <v>257</v>
      </c>
      <c r="BX68" s="38">
        <f>BX14</f>
        <v>29068</v>
      </c>
      <c r="BY68" s="50"/>
      <c r="BZ68" s="21" t="s">
        <v>257</v>
      </c>
      <c r="CE68" s="38">
        <f>CE14</f>
        <v>29068</v>
      </c>
      <c r="CF68" s="50"/>
      <c r="CG68" s="21" t="s">
        <v>257</v>
      </c>
      <c r="CL68" s="38">
        <f>CL14</f>
        <v>29068</v>
      </c>
      <c r="CM68" s="50"/>
      <c r="CN68" s="21" t="s">
        <v>257</v>
      </c>
      <c r="CS68" s="38">
        <f>CS14</f>
        <v>29068</v>
      </c>
      <c r="CT68" s="50"/>
      <c r="CU68" s="21" t="s">
        <v>257</v>
      </c>
      <c r="CZ68" s="38">
        <f>CZ14</f>
        <v>29068</v>
      </c>
      <c r="DA68" s="50"/>
      <c r="DB68" s="21" t="s">
        <v>257</v>
      </c>
      <c r="DG68" s="38">
        <f>DG14</f>
        <v>29068</v>
      </c>
      <c r="DH68" s="50"/>
      <c r="DI68" s="21" t="s">
        <v>257</v>
      </c>
      <c r="DN68" s="38">
        <f>DN14</f>
        <v>29068</v>
      </c>
      <c r="DO68" s="50"/>
      <c r="DP68" s="21" t="s">
        <v>257</v>
      </c>
      <c r="DU68" s="38">
        <f>DU14</f>
        <v>29068</v>
      </c>
      <c r="DV68" s="50"/>
      <c r="DW68" s="21" t="s">
        <v>257</v>
      </c>
      <c r="EB68" s="38">
        <f>EB14</f>
        <v>29068</v>
      </c>
      <c r="EC68" s="50"/>
      <c r="ED68" s="21" t="s">
        <v>257</v>
      </c>
      <c r="EI68" s="38">
        <f>EI14</f>
        <v>29068</v>
      </c>
      <c r="EJ68" s="50"/>
    </row>
    <row r="69" spans="1:249" x14ac:dyDescent="0.2">
      <c r="A69" s="21" t="s">
        <v>264</v>
      </c>
      <c r="B69"/>
      <c r="C69"/>
      <c r="D69"/>
      <c r="E69"/>
      <c r="F69" s="38">
        <f>F68-F67</f>
        <v>-9053.8724156852022</v>
      </c>
      <c r="G69" s="13"/>
      <c r="H69" s="21" t="s">
        <v>264</v>
      </c>
      <c r="I69"/>
      <c r="M69" s="38">
        <f>M68-M67</f>
        <v>-8722.6108834339066</v>
      </c>
      <c r="N69" s="50"/>
      <c r="O69" s="21" t="s">
        <v>264</v>
      </c>
      <c r="R69"/>
      <c r="T69" s="38">
        <f>T68-T67</f>
        <v>-12876.275762778758</v>
      </c>
      <c r="U69" s="50"/>
      <c r="V69" s="21" t="s">
        <v>264</v>
      </c>
      <c r="AA69" s="38">
        <f>AA68-AA67</f>
        <v>-10505.353114509289</v>
      </c>
      <c r="AB69" s="50"/>
      <c r="AC69" s="21" t="s">
        <v>264</v>
      </c>
      <c r="AH69" s="38">
        <f>AH68-AH67</f>
        <v>-8002.7071331171283</v>
      </c>
      <c r="AI69" s="50"/>
      <c r="AJ69" s="21" t="s">
        <v>264</v>
      </c>
      <c r="AO69" s="38">
        <f>AO68-AO67</f>
        <v>-293.98257318394826</v>
      </c>
      <c r="AP69" s="50"/>
      <c r="AQ69" s="21" t="s">
        <v>264</v>
      </c>
      <c r="AV69" s="38">
        <f>AV68-AV67</f>
        <v>-296.62841634260622</v>
      </c>
      <c r="AW69" s="50"/>
      <c r="AX69" s="21" t="s">
        <v>264</v>
      </c>
      <c r="BC69" s="38">
        <f>BC68-BC67</f>
        <v>-299.2980720896885</v>
      </c>
      <c r="BD69" s="50"/>
      <c r="BE69" s="21" t="s">
        <v>264</v>
      </c>
      <c r="BJ69" s="38">
        <f>BJ68-BJ67</f>
        <v>-301.99175473849391</v>
      </c>
      <c r="BK69" s="50"/>
      <c r="BL69" s="21" t="s">
        <v>264</v>
      </c>
      <c r="BQ69" s="38">
        <f>BQ68-BQ67</f>
        <v>-304.7096805311412</v>
      </c>
      <c r="BR69" s="50"/>
      <c r="BS69" s="21" t="s">
        <v>264</v>
      </c>
      <c r="BX69" s="38">
        <f>BX68-BX67</f>
        <v>-307.45206765592229</v>
      </c>
      <c r="BY69" s="50"/>
      <c r="BZ69" s="21" t="s">
        <v>264</v>
      </c>
      <c r="CE69" s="38">
        <f>CE68-CE67</f>
        <v>-310.21913626482637</v>
      </c>
      <c r="CF69" s="50"/>
      <c r="CG69" s="21" t="s">
        <v>264</v>
      </c>
      <c r="CL69" s="38">
        <f>CL68-CL67</f>
        <v>-313.0111084912096</v>
      </c>
      <c r="CM69" s="50"/>
      <c r="CN69" s="21" t="s">
        <v>264</v>
      </c>
      <c r="CS69" s="38">
        <f>CS68-CS67</f>
        <v>-315.82820846762843</v>
      </c>
      <c r="CT69" s="50"/>
      <c r="CU69" s="21" t="s">
        <v>264</v>
      </c>
      <c r="CZ69" s="38">
        <f>CZ68-CZ67</f>
        <v>-318.67066234383674</v>
      </c>
      <c r="DA69" s="50"/>
      <c r="DB69" s="21" t="s">
        <v>264</v>
      </c>
      <c r="DG69" s="38">
        <f>DG68-DG67</f>
        <v>-321.53869830493204</v>
      </c>
      <c r="DH69" s="50"/>
      <c r="DI69" s="21" t="s">
        <v>264</v>
      </c>
      <c r="DN69" s="38">
        <f>DN68-DN67</f>
        <v>-324.43254658967635</v>
      </c>
      <c r="DO69" s="50"/>
      <c r="DP69" s="21" t="s">
        <v>264</v>
      </c>
      <c r="DU69" s="38">
        <f>DU68-DU67</f>
        <v>-327.35243950898439</v>
      </c>
      <c r="DV69" s="50"/>
      <c r="DW69" s="21" t="s">
        <v>264</v>
      </c>
      <c r="EB69" s="38">
        <f>EB68-EB67</f>
        <v>-330.2986114645646</v>
      </c>
      <c r="EC69" s="50"/>
      <c r="ED69" s="21" t="s">
        <v>264</v>
      </c>
      <c r="EI69" s="38">
        <f>EI68-EI67</f>
        <v>-6333.2712989677457</v>
      </c>
      <c r="EJ69" s="50"/>
    </row>
    <row r="70" spans="1:249" s="99" customFormat="1" x14ac:dyDescent="0.2">
      <c r="A70" s="106" t="s">
        <v>426</v>
      </c>
      <c r="C70" s="501"/>
      <c r="D70" s="501"/>
      <c r="E70" s="213"/>
      <c r="F70" s="228">
        <f>'Variante Erstellung'!E74*(-1)</f>
        <v>-84975.419771157554</v>
      </c>
      <c r="G70" s="928"/>
      <c r="H70" s="106" t="s">
        <v>265</v>
      </c>
      <c r="J70" s="501"/>
      <c r="K70" s="501"/>
      <c r="L70" s="213"/>
      <c r="M70" s="228">
        <f>F71</f>
        <v>-94029.292186842751</v>
      </c>
      <c r="N70" s="928"/>
      <c r="O70" s="106" t="s">
        <v>266</v>
      </c>
      <c r="Q70" s="501"/>
      <c r="R70" s="501"/>
      <c r="S70" s="213"/>
      <c r="T70" s="228">
        <f>M71</f>
        <v>-102751.90307027666</v>
      </c>
      <c r="U70" s="928"/>
      <c r="V70" s="106" t="s">
        <v>267</v>
      </c>
      <c r="X70" s="501"/>
      <c r="Y70" s="501"/>
      <c r="Z70" s="213"/>
      <c r="AA70" s="228">
        <f>T71</f>
        <v>-115628.17883305543</v>
      </c>
      <c r="AB70" s="928"/>
      <c r="AC70" s="106" t="s">
        <v>268</v>
      </c>
      <c r="AE70" s="501"/>
      <c r="AF70" s="501"/>
      <c r="AG70" s="213"/>
      <c r="AH70" s="228">
        <f>AA71</f>
        <v>-126133.53194756471</v>
      </c>
      <c r="AI70" s="928"/>
      <c r="AJ70" s="106" t="s">
        <v>269</v>
      </c>
      <c r="AL70" s="501"/>
      <c r="AM70" s="501"/>
      <c r="AN70" s="213"/>
      <c r="AO70" s="228">
        <f>AH71</f>
        <v>-134136.23908068184</v>
      </c>
      <c r="AP70" s="928"/>
      <c r="AQ70" s="106" t="s">
        <v>270</v>
      </c>
      <c r="AS70" s="501"/>
      <c r="AT70" s="501"/>
      <c r="AU70" s="213"/>
      <c r="AV70" s="228">
        <f>AO71</f>
        <v>-134430.2216538658</v>
      </c>
      <c r="AW70" s="928"/>
      <c r="AX70" s="106" t="s">
        <v>271</v>
      </c>
      <c r="AZ70" s="501"/>
      <c r="BA70" s="501"/>
      <c r="BB70" s="213"/>
      <c r="BC70" s="228">
        <f>AV71</f>
        <v>-134726.8500702084</v>
      </c>
      <c r="BD70" s="928"/>
      <c r="BE70" s="106" t="s">
        <v>272</v>
      </c>
      <c r="BG70" s="501"/>
      <c r="BH70" s="501"/>
      <c r="BI70" s="213"/>
      <c r="BJ70" s="228">
        <f>BC71</f>
        <v>-135026.1481422981</v>
      </c>
      <c r="BK70" s="928"/>
      <c r="BL70" s="106" t="s">
        <v>273</v>
      </c>
      <c r="BN70" s="501"/>
      <c r="BO70" s="501"/>
      <c r="BP70" s="213"/>
      <c r="BQ70" s="228">
        <f>BJ71</f>
        <v>-135328.1398970366</v>
      </c>
      <c r="BR70" s="928"/>
      <c r="BS70" s="106" t="s">
        <v>274</v>
      </c>
      <c r="BU70" s="501"/>
      <c r="BV70" s="501"/>
      <c r="BW70" s="213"/>
      <c r="BX70" s="228">
        <f>BQ71</f>
        <v>-135632.84957756774</v>
      </c>
      <c r="BY70" s="928"/>
      <c r="BZ70" s="106" t="s">
        <v>275</v>
      </c>
      <c r="CB70" s="501"/>
      <c r="CC70" s="501"/>
      <c r="CD70" s="213"/>
      <c r="CE70" s="228">
        <f>BX71</f>
        <v>-135940.30164522366</v>
      </c>
      <c r="CF70" s="928"/>
      <c r="CG70" s="106" t="s">
        <v>276</v>
      </c>
      <c r="CI70" s="501"/>
      <c r="CJ70" s="501"/>
      <c r="CK70" s="213"/>
      <c r="CL70" s="228">
        <f>CE71</f>
        <v>-136250.52078148848</v>
      </c>
      <c r="CM70" s="928"/>
      <c r="CN70" s="106" t="s">
        <v>277</v>
      </c>
      <c r="CP70" s="501"/>
      <c r="CQ70" s="501"/>
      <c r="CR70" s="213"/>
      <c r="CS70" s="228">
        <f>CL71</f>
        <v>-136563.5318899797</v>
      </c>
      <c r="CT70" s="928"/>
      <c r="CU70" s="106" t="s">
        <v>278</v>
      </c>
      <c r="CW70" s="501"/>
      <c r="CX70" s="501"/>
      <c r="CY70" s="213"/>
      <c r="CZ70" s="228">
        <f>CS71</f>
        <v>-136879.36009844733</v>
      </c>
      <c r="DA70" s="928"/>
      <c r="DB70" s="106" t="s">
        <v>279</v>
      </c>
      <c r="DD70" s="501"/>
      <c r="DE70" s="501"/>
      <c r="DF70" s="213"/>
      <c r="DG70" s="228">
        <f>CZ71</f>
        <v>-137198.03076079115</v>
      </c>
      <c r="DH70" s="928"/>
      <c r="DI70" s="106" t="s">
        <v>365</v>
      </c>
      <c r="DK70" s="501"/>
      <c r="DL70" s="501"/>
      <c r="DM70" s="213"/>
      <c r="DN70" s="228">
        <f>DG71</f>
        <v>-137519.56945909609</v>
      </c>
      <c r="DO70" s="928"/>
      <c r="DP70" s="106" t="s">
        <v>366</v>
      </c>
      <c r="DR70" s="501"/>
      <c r="DS70" s="501"/>
      <c r="DT70" s="213"/>
      <c r="DU70" s="228">
        <f>DN71</f>
        <v>-137844.00200568576</v>
      </c>
      <c r="DV70" s="928"/>
      <c r="DW70" s="106" t="s">
        <v>367</v>
      </c>
      <c r="DY70" s="501"/>
      <c r="DZ70" s="501"/>
      <c r="EA70" s="213"/>
      <c r="EB70" s="228">
        <f>DU71</f>
        <v>-138171.35444519474</v>
      </c>
      <c r="EC70" s="928"/>
      <c r="ED70" s="106" t="s">
        <v>368</v>
      </c>
      <c r="EF70" s="501"/>
      <c r="EG70" s="501"/>
      <c r="EH70" s="213"/>
      <c r="EI70" s="228">
        <f>EB71</f>
        <v>-138501.6530566593</v>
      </c>
      <c r="EJ70" s="928"/>
    </row>
    <row r="71" spans="1:249" s="68" customFormat="1" ht="21" customHeight="1" x14ac:dyDescent="0.25">
      <c r="A71" s="67" t="s">
        <v>265</v>
      </c>
      <c r="F71" s="159">
        <f>((F67)*(-1))+F70+F68</f>
        <v>-94029.292186842751</v>
      </c>
      <c r="G71" s="69"/>
      <c r="H71" s="67" t="s">
        <v>266</v>
      </c>
      <c r="M71" s="159">
        <f>((M67)*(-1))+M70+M68</f>
        <v>-102751.90307027666</v>
      </c>
      <c r="N71" s="69"/>
      <c r="O71" s="67" t="s">
        <v>267</v>
      </c>
      <c r="T71" s="159">
        <f>((T67)*(-1))+T70+T68</f>
        <v>-115628.17883305543</v>
      </c>
      <c r="U71" s="69"/>
      <c r="V71" s="67" t="s">
        <v>268</v>
      </c>
      <c r="AA71" s="159">
        <f>((AA67)*(-1))+AA70+AA68</f>
        <v>-126133.53194756471</v>
      </c>
      <c r="AB71" s="69"/>
      <c r="AC71" s="67" t="s">
        <v>269</v>
      </c>
      <c r="AH71" s="159">
        <f>((AH67)*(-1))+AH70+AH68</f>
        <v>-134136.23908068184</v>
      </c>
      <c r="AI71" s="69"/>
      <c r="AJ71" s="67" t="s">
        <v>270</v>
      </c>
      <c r="AO71" s="159">
        <f>((AO67)*(-1))+AO70+AO68</f>
        <v>-134430.2216538658</v>
      </c>
      <c r="AP71" s="69"/>
      <c r="AQ71" s="67" t="s">
        <v>271</v>
      </c>
      <c r="AV71" s="159">
        <f>((AV67)*(-1))+AV70+AV68</f>
        <v>-134726.8500702084</v>
      </c>
      <c r="AW71" s="69"/>
      <c r="AX71" s="67" t="s">
        <v>272</v>
      </c>
      <c r="BC71" s="159">
        <f>((BC67)*(-1))+BC70+BC68</f>
        <v>-135026.1481422981</v>
      </c>
      <c r="BD71" s="69"/>
      <c r="BE71" s="67" t="s">
        <v>273</v>
      </c>
      <c r="BJ71" s="159">
        <f>((BJ67)*(-1))+BJ70+BJ68</f>
        <v>-135328.1398970366</v>
      </c>
      <c r="BK71" s="69"/>
      <c r="BL71" s="67" t="s">
        <v>274</v>
      </c>
      <c r="BQ71" s="159">
        <f>((BQ67)*(-1))+BQ70+BQ68</f>
        <v>-135632.84957756774</v>
      </c>
      <c r="BR71" s="69"/>
      <c r="BS71" s="67" t="s">
        <v>275</v>
      </c>
      <c r="BX71" s="159">
        <f>((BX67)*(-1))+BX70+BX68</f>
        <v>-135940.30164522366</v>
      </c>
      <c r="BY71" s="69"/>
      <c r="BZ71" s="67" t="s">
        <v>276</v>
      </c>
      <c r="CE71" s="159">
        <f>((CE67)*(-1))+CE70+CE68</f>
        <v>-136250.52078148848</v>
      </c>
      <c r="CF71" s="69"/>
      <c r="CG71" s="67" t="s">
        <v>277</v>
      </c>
      <c r="CL71" s="159">
        <f>((CL67)*(-1))+CL70+CL68</f>
        <v>-136563.5318899797</v>
      </c>
      <c r="CM71" s="69"/>
      <c r="CN71" s="67" t="s">
        <v>278</v>
      </c>
      <c r="CS71" s="159">
        <f>((CS67)*(-1))+CS70+CS68</f>
        <v>-136879.36009844733</v>
      </c>
      <c r="CT71" s="69"/>
      <c r="CU71" s="67" t="s">
        <v>279</v>
      </c>
      <c r="CZ71" s="159">
        <f>((CZ67)*(-1))+CZ70+CZ68</f>
        <v>-137198.03076079115</v>
      </c>
      <c r="DA71" s="69"/>
      <c r="DB71" s="67" t="s">
        <v>365</v>
      </c>
      <c r="DG71" s="159">
        <f>((DG67)*(-1))+DG70+DG68</f>
        <v>-137519.56945909609</v>
      </c>
      <c r="DH71" s="69"/>
      <c r="DI71" s="67" t="s">
        <v>366</v>
      </c>
      <c r="DN71" s="159">
        <f>((DN67)*(-1))+DN70+DN68</f>
        <v>-137844.00200568576</v>
      </c>
      <c r="DO71" s="69"/>
      <c r="DP71" s="67" t="s">
        <v>367</v>
      </c>
      <c r="DU71" s="159">
        <f>((DU67)*(-1))+DU70+DU68</f>
        <v>-138171.35444519474</v>
      </c>
      <c r="DV71" s="69"/>
      <c r="DW71" s="67" t="s">
        <v>368</v>
      </c>
      <c r="EB71" s="159">
        <f>((EB67)*(-1))+EB70+EB68</f>
        <v>-138501.6530566593</v>
      </c>
      <c r="EC71" s="69"/>
      <c r="ED71" s="67" t="s">
        <v>369</v>
      </c>
      <c r="EI71" s="159">
        <f>((EI67)*(-1))+EI70+EI68</f>
        <v>-144834.92435562704</v>
      </c>
      <c r="EJ71" s="69"/>
      <c r="EK71" s="160"/>
      <c r="EL71" s="160"/>
      <c r="EM71" s="160"/>
      <c r="EN71" s="160"/>
      <c r="EO71" s="160"/>
      <c r="EP71" s="160"/>
      <c r="EQ71" s="160"/>
      <c r="ER71" s="160"/>
      <c r="ES71" s="160"/>
      <c r="ET71" s="160"/>
      <c r="EU71" s="160"/>
      <c r="EV71" s="160"/>
      <c r="EW71" s="160"/>
      <c r="EX71" s="160"/>
      <c r="EY71" s="160"/>
      <c r="EZ71" s="160"/>
      <c r="FA71" s="160"/>
      <c r="FB71" s="160"/>
      <c r="FC71" s="160"/>
      <c r="FD71" s="160"/>
      <c r="FE71" s="160"/>
      <c r="FF71" s="160"/>
      <c r="FG71" s="160"/>
      <c r="FH71" s="160"/>
      <c r="FI71" s="160"/>
      <c r="FJ71" s="160"/>
      <c r="FK71" s="160"/>
      <c r="FL71" s="160"/>
      <c r="FM71" s="160"/>
      <c r="FN71" s="160"/>
      <c r="FO71" s="160"/>
      <c r="FP71" s="160"/>
      <c r="FQ71" s="160"/>
      <c r="FR71" s="160"/>
      <c r="FS71" s="160"/>
      <c r="FT71" s="160"/>
      <c r="FU71" s="160"/>
      <c r="FV71" s="160"/>
      <c r="FW71" s="160"/>
      <c r="FX71" s="160"/>
      <c r="FY71" s="160"/>
      <c r="FZ71" s="160"/>
      <c r="GA71" s="160"/>
      <c r="GB71" s="160"/>
      <c r="GC71" s="160"/>
      <c r="GD71" s="160"/>
      <c r="GE71" s="160"/>
      <c r="GF71" s="160"/>
      <c r="GG71" s="160"/>
      <c r="GH71" s="160"/>
      <c r="GI71" s="160"/>
      <c r="GJ71" s="160"/>
      <c r="GK71" s="160"/>
      <c r="GL71" s="160"/>
      <c r="GM71" s="160"/>
      <c r="GN71" s="160"/>
      <c r="GO71" s="160"/>
      <c r="GP71" s="160"/>
      <c r="GQ71" s="160"/>
      <c r="GR71" s="160"/>
      <c r="GS71" s="160"/>
      <c r="GT71" s="160"/>
      <c r="GU71" s="160"/>
      <c r="GV71" s="160"/>
      <c r="GW71" s="160"/>
      <c r="GX71" s="160"/>
      <c r="GY71" s="160"/>
      <c r="GZ71" s="160"/>
      <c r="HA71" s="160"/>
      <c r="HB71" s="160"/>
      <c r="HC71" s="160"/>
      <c r="HD71" s="160"/>
      <c r="HE71" s="160"/>
      <c r="HF71" s="160"/>
      <c r="HG71" s="160"/>
      <c r="HH71" s="160"/>
      <c r="HI71" s="160"/>
      <c r="HJ71" s="160"/>
      <c r="HK71" s="160"/>
      <c r="HL71" s="160"/>
      <c r="HM71" s="160"/>
      <c r="HN71" s="160"/>
      <c r="HO71" s="160"/>
      <c r="HP71" s="160"/>
      <c r="HQ71" s="160"/>
      <c r="HR71" s="160"/>
      <c r="HS71" s="160"/>
      <c r="HT71" s="160"/>
      <c r="HU71" s="160"/>
      <c r="HV71" s="160"/>
      <c r="HW71" s="160"/>
      <c r="HX71" s="160"/>
      <c r="HY71" s="160"/>
      <c r="HZ71" s="160"/>
      <c r="IA71" s="160"/>
      <c r="IB71" s="160"/>
      <c r="IC71" s="160"/>
      <c r="ID71" s="160"/>
      <c r="IE71" s="160"/>
      <c r="IF71" s="160"/>
      <c r="IG71" s="160"/>
      <c r="IH71" s="160"/>
      <c r="II71" s="160"/>
      <c r="IJ71" s="160"/>
      <c r="IK71" s="26"/>
      <c r="IL71" s="26"/>
      <c r="IM71" s="26"/>
      <c r="IN71" s="26"/>
      <c r="IO71" s="26"/>
    </row>
    <row r="72" spans="1:249" s="165" customFormat="1" x14ac:dyDescent="0.2">
      <c r="A72" s="162" t="s">
        <v>66</v>
      </c>
      <c r="B72" s="163"/>
      <c r="C72" s="161"/>
      <c r="D72" s="161"/>
      <c r="E72" s="161"/>
      <c r="F72" s="161">
        <f>F71*(-1)</f>
        <v>94029.292186842751</v>
      </c>
      <c r="G72" s="161"/>
      <c r="H72" s="162" t="s">
        <v>66</v>
      </c>
      <c r="I72" s="163"/>
      <c r="J72" s="161"/>
      <c r="K72" s="161"/>
      <c r="L72" s="161"/>
      <c r="M72" s="161">
        <f>M71*(-1)</f>
        <v>102751.90307027666</v>
      </c>
      <c r="N72" s="161"/>
      <c r="O72" s="162" t="s">
        <v>66</v>
      </c>
      <c r="P72" s="163"/>
      <c r="Q72" s="161"/>
      <c r="R72" s="161"/>
      <c r="S72" s="161"/>
      <c r="T72" s="234">
        <f>T71*(-1)</f>
        <v>115628.17883305543</v>
      </c>
      <c r="U72" s="161"/>
      <c r="V72" s="164" t="s">
        <v>66</v>
      </c>
      <c r="W72" s="163"/>
      <c r="X72" s="161"/>
      <c r="Y72" s="161"/>
      <c r="Z72" s="161"/>
      <c r="AA72" s="234">
        <f>AA71*(-1)</f>
        <v>126133.53194756471</v>
      </c>
      <c r="AB72" s="161"/>
      <c r="AC72" s="164" t="s">
        <v>66</v>
      </c>
      <c r="AD72" s="163"/>
      <c r="AE72" s="161"/>
      <c r="AF72" s="161"/>
      <c r="AG72" s="161"/>
      <c r="AH72" s="929">
        <f>AH71*(-1)</f>
        <v>134136.23908068184</v>
      </c>
      <c r="AI72" s="161"/>
      <c r="AJ72" s="164" t="s">
        <v>66</v>
      </c>
      <c r="AK72" s="163"/>
      <c r="AL72" s="161"/>
      <c r="AM72" s="161"/>
      <c r="AN72" s="161"/>
      <c r="AO72" s="161">
        <f>AH72-($AH$72/'Variante Vorgaben'!$B$30)</f>
        <v>125193.82314196973</v>
      </c>
      <c r="AP72" s="161"/>
      <c r="AQ72" s="164" t="s">
        <v>66</v>
      </c>
      <c r="AR72" s="163"/>
      <c r="AS72" s="161"/>
      <c r="AT72" s="161"/>
      <c r="AU72" s="161"/>
      <c r="AV72" s="161">
        <f>AO72-($AH$72/'Variante Vorgaben'!$B$30)</f>
        <v>116251.40720325761</v>
      </c>
      <c r="AW72" s="161"/>
      <c r="AX72" s="164" t="s">
        <v>66</v>
      </c>
      <c r="AY72" s="163"/>
      <c r="AZ72" s="161"/>
      <c r="BA72" s="161"/>
      <c r="BB72" s="161"/>
      <c r="BC72" s="161">
        <f>AV72-($AH$72/'Variante Vorgaben'!$B$30)</f>
        <v>107308.99126454549</v>
      </c>
      <c r="BD72" s="161"/>
      <c r="BE72" s="164" t="s">
        <v>66</v>
      </c>
      <c r="BF72" s="163"/>
      <c r="BG72" s="161"/>
      <c r="BH72" s="161"/>
      <c r="BI72" s="161"/>
      <c r="BJ72" s="161">
        <f>BC72-($AH$72/'Variante Vorgaben'!$B$30)</f>
        <v>98366.575325833372</v>
      </c>
      <c r="BK72" s="161"/>
      <c r="BL72" s="164" t="s">
        <v>66</v>
      </c>
      <c r="BM72" s="163"/>
      <c r="BN72" s="161"/>
      <c r="BO72" s="161"/>
      <c r="BP72" s="161"/>
      <c r="BQ72" s="929">
        <f>BJ72-($AH$72/'Variante Vorgaben'!$B$30)</f>
        <v>89424.159387121254</v>
      </c>
      <c r="BR72" s="161"/>
      <c r="BS72" s="164" t="s">
        <v>66</v>
      </c>
      <c r="BT72" s="163"/>
      <c r="BU72" s="161"/>
      <c r="BV72" s="161"/>
      <c r="BW72" s="161"/>
      <c r="BX72" s="929">
        <f>BQ72-($AH$72/'Variante Vorgaben'!$B$30)</f>
        <v>80481.743448409135</v>
      </c>
      <c r="BY72" s="161"/>
      <c r="BZ72" s="164" t="s">
        <v>66</v>
      </c>
      <c r="CA72" s="163"/>
      <c r="CB72" s="161"/>
      <c r="CC72" s="161"/>
      <c r="CD72" s="161"/>
      <c r="CE72" s="929">
        <f>BX72-($AH$72/'Variante Vorgaben'!$B$30)</f>
        <v>71539.327509697017</v>
      </c>
      <c r="CF72" s="161"/>
      <c r="CG72" s="164" t="s">
        <v>66</v>
      </c>
      <c r="CH72" s="163"/>
      <c r="CI72" s="161"/>
      <c r="CJ72" s="161"/>
      <c r="CK72" s="161"/>
      <c r="CL72" s="929">
        <f>CE72-($AH$72/'Variante Vorgaben'!$B$30)</f>
        <v>62596.911570984892</v>
      </c>
      <c r="CM72" s="161"/>
      <c r="CN72" s="164" t="s">
        <v>66</v>
      </c>
      <c r="CO72" s="163"/>
      <c r="CP72" s="161"/>
      <c r="CQ72" s="161"/>
      <c r="CR72" s="161"/>
      <c r="CS72" s="929">
        <f>CL72-($AH$72/'Variante Vorgaben'!$B$30)</f>
        <v>53654.495632272767</v>
      </c>
      <c r="CT72" s="161"/>
      <c r="CU72" s="164" t="s">
        <v>66</v>
      </c>
      <c r="CV72" s="163"/>
      <c r="CW72" s="161"/>
      <c r="CX72" s="161"/>
      <c r="CY72" s="161"/>
      <c r="CZ72" s="929">
        <f>CS72-($AH$72/'Variante Vorgaben'!$B$30)</f>
        <v>44712.079693560641</v>
      </c>
      <c r="DA72" s="325"/>
      <c r="DB72" s="164" t="s">
        <v>66</v>
      </c>
      <c r="DC72" s="163"/>
      <c r="DD72" s="161"/>
      <c r="DE72" s="161"/>
      <c r="DF72" s="161"/>
      <c r="DG72" s="929">
        <f>CZ72-($AH$72/'Variante Vorgaben'!$B$30)</f>
        <v>35769.663754848516</v>
      </c>
      <c r="DH72" s="325"/>
      <c r="DI72" s="164" t="s">
        <v>66</v>
      </c>
      <c r="DJ72" s="163"/>
      <c r="DK72" s="161"/>
      <c r="DL72" s="161"/>
      <c r="DM72" s="161"/>
      <c r="DN72" s="929">
        <f>DG72-($AH$72/'Variante Vorgaben'!$B$30)</f>
        <v>26827.247816136391</v>
      </c>
      <c r="DO72" s="325"/>
      <c r="DP72" s="164" t="s">
        <v>66</v>
      </c>
      <c r="DQ72" s="163"/>
      <c r="DR72" s="161"/>
      <c r="DS72" s="161"/>
      <c r="DT72" s="161"/>
      <c r="DU72" s="929">
        <f>DN72-($AH$72/'Variante Vorgaben'!$B$30)</f>
        <v>17884.831877424265</v>
      </c>
      <c r="DV72" s="325"/>
      <c r="DW72" s="164" t="s">
        <v>66</v>
      </c>
      <c r="DX72" s="163"/>
      <c r="DY72" s="161"/>
      <c r="DZ72" s="161"/>
      <c r="EA72" s="161"/>
      <c r="EB72" s="929">
        <f>DU72-($AH$72/'Variante Vorgaben'!$B$30)</f>
        <v>8942.4159387121417</v>
      </c>
      <c r="EC72" s="325"/>
      <c r="ED72" s="164" t="s">
        <v>66</v>
      </c>
      <c r="EE72" s="163"/>
      <c r="EF72" s="161"/>
      <c r="EG72" s="161"/>
      <c r="EH72" s="161"/>
      <c r="EI72" s="929">
        <f>EB72-($AH$72/'Variante Vorgaben'!$B$30)</f>
        <v>1.8189894035458565E-11</v>
      </c>
      <c r="EJ72" s="325"/>
    </row>
    <row r="73" spans="1:249" x14ac:dyDescent="0.2">
      <c r="A73"/>
      <c r="B73"/>
      <c r="C73"/>
      <c r="D73"/>
      <c r="E73"/>
      <c r="F73"/>
      <c r="G73"/>
      <c r="H73"/>
      <c r="I73"/>
      <c r="O73" s="21"/>
      <c r="P73" s="21"/>
      <c r="Q73" s="21"/>
      <c r="R73" s="21"/>
      <c r="S73" s="21"/>
      <c r="T73" s="158"/>
      <c r="CU73" s="220"/>
      <c r="CV73" s="221"/>
      <c r="DA73" s="75"/>
      <c r="DB73" s="220"/>
      <c r="DC73" s="221"/>
      <c r="DH73" s="75"/>
      <c r="DI73" s="220"/>
      <c r="DJ73" s="221"/>
      <c r="DO73" s="75"/>
      <c r="DP73" s="220"/>
      <c r="DQ73" s="221"/>
      <c r="DV73" s="75"/>
      <c r="DW73" s="220"/>
      <c r="DX73" s="221"/>
      <c r="EC73" s="75"/>
      <c r="ED73" s="220" t="s">
        <v>144</v>
      </c>
      <c r="EE73" s="221">
        <v>6000</v>
      </c>
      <c r="EJ73" s="75"/>
    </row>
    <row r="74" spans="1:249" s="23" customFormat="1" ht="15.75" x14ac:dyDescent="0.25">
      <c r="B74" s="219"/>
      <c r="R74" s="51"/>
      <c r="V74" s="251"/>
      <c r="AA74" s="252"/>
    </row>
    <row r="75" spans="1:249" s="52" customFormat="1" x14ac:dyDescent="0.2">
      <c r="A75" s="216"/>
      <c r="B75" s="240"/>
      <c r="D75" s="54"/>
      <c r="E75" s="55"/>
      <c r="F75" s="56"/>
      <c r="G75" s="54"/>
      <c r="I75" s="53"/>
      <c r="J75" s="54"/>
      <c r="K75" s="54"/>
      <c r="L75" s="55"/>
      <c r="M75" s="56"/>
      <c r="N75" s="54"/>
      <c r="O75" s="23"/>
      <c r="P75" s="53"/>
      <c r="Q75" s="23"/>
      <c r="R75" s="51"/>
      <c r="S75" s="23"/>
      <c r="T75" s="83"/>
      <c r="U75" s="54"/>
      <c r="W75" s="53"/>
      <c r="X75" s="54"/>
      <c r="Y75" s="57"/>
      <c r="Z75" s="55"/>
      <c r="AA75" s="56"/>
      <c r="AB75" s="54"/>
      <c r="AD75" s="53"/>
      <c r="AE75" s="54"/>
      <c r="AF75" s="57"/>
      <c r="AG75" s="55"/>
      <c r="AH75" s="56"/>
      <c r="AI75" s="54"/>
      <c r="AK75" s="53"/>
      <c r="AL75" s="54"/>
      <c r="AM75" s="57"/>
      <c r="AN75" s="55"/>
      <c r="AO75" s="56"/>
      <c r="AP75" s="54"/>
      <c r="AR75" s="53"/>
      <c r="AS75" s="54"/>
      <c r="AT75" s="57"/>
      <c r="AU75" s="55"/>
      <c r="AV75" s="56"/>
      <c r="AW75" s="54"/>
      <c r="BM75" s="53"/>
      <c r="BN75" s="54"/>
      <c r="BO75" s="57"/>
      <c r="BP75" s="55"/>
      <c r="BQ75" s="56"/>
      <c r="BR75" s="54"/>
      <c r="BT75" s="53"/>
      <c r="BU75" s="54"/>
      <c r="BV75" s="57"/>
      <c r="BW75" s="55"/>
      <c r="BX75" s="56"/>
      <c r="BY75" s="54"/>
    </row>
    <row r="76" spans="1:249" s="52" customFormat="1" ht="20.25" customHeight="1" x14ac:dyDescent="0.2">
      <c r="C76" s="218"/>
      <c r="D76" s="58"/>
      <c r="E76" s="59"/>
      <c r="F76" s="60"/>
      <c r="G76" s="58"/>
      <c r="I76" s="53"/>
      <c r="J76" s="58"/>
      <c r="K76" s="58"/>
      <c r="L76" s="59"/>
      <c r="M76" s="60"/>
      <c r="N76" s="58"/>
      <c r="P76" s="53"/>
      <c r="Q76" s="58"/>
      <c r="R76" s="61"/>
      <c r="S76" s="59"/>
      <c r="T76" s="60"/>
      <c r="U76" s="58"/>
      <c r="W76" s="53"/>
      <c r="X76" s="58"/>
      <c r="Y76" s="61"/>
      <c r="Z76" s="59"/>
      <c r="AA76" s="60"/>
      <c r="AB76" s="58"/>
      <c r="AD76" s="53"/>
      <c r="AE76" s="58"/>
      <c r="AF76" s="61"/>
      <c r="AG76" s="59"/>
      <c r="AH76" s="60"/>
      <c r="AI76" s="58"/>
      <c r="AK76" s="53"/>
      <c r="AL76" s="58"/>
      <c r="AM76" s="61"/>
      <c r="AN76" s="59"/>
      <c r="AO76" s="60"/>
      <c r="AP76" s="58"/>
      <c r="AR76" s="53"/>
      <c r="AS76" s="58"/>
      <c r="AT76" s="61"/>
      <c r="AU76" s="59"/>
      <c r="AV76" s="60"/>
      <c r="AW76" s="58"/>
      <c r="BM76" s="53"/>
      <c r="BN76" s="58"/>
      <c r="BO76" s="61"/>
      <c r="BP76" s="59"/>
      <c r="BQ76" s="60"/>
      <c r="BR76" s="58"/>
      <c r="BT76" s="53"/>
      <c r="BU76" s="58"/>
      <c r="BV76" s="61"/>
      <c r="BW76" s="59"/>
      <c r="BX76" s="60"/>
      <c r="BY76" s="58"/>
    </row>
    <row r="77" spans="1:249" s="23" customFormat="1" x14ac:dyDescent="0.2">
      <c r="B77" s="59"/>
      <c r="C77" s="241"/>
      <c r="D77" s="58"/>
      <c r="F77" s="60"/>
      <c r="G77" s="58"/>
      <c r="H77" s="58"/>
      <c r="I77" s="58"/>
      <c r="O77" s="58"/>
      <c r="P77" s="58"/>
      <c r="R77" s="51"/>
    </row>
    <row r="78" spans="1:249" s="23" customFormat="1" x14ac:dyDescent="0.2">
      <c r="A78" s="190"/>
      <c r="B78" s="192"/>
      <c r="C78" s="58"/>
      <c r="D78" s="58"/>
      <c r="F78" s="60"/>
      <c r="G78" s="58"/>
      <c r="H78" s="58"/>
      <c r="I78" s="58"/>
      <c r="O78" s="58"/>
      <c r="P78" s="58"/>
      <c r="R78" s="51"/>
    </row>
    <row r="79" spans="1:249" s="23" customFormat="1" x14ac:dyDescent="0.2">
      <c r="A79" s="52"/>
      <c r="B79" s="242"/>
      <c r="C79" s="58"/>
      <c r="D79" s="58"/>
      <c r="E79" s="217"/>
      <c r="F79" s="60"/>
      <c r="G79" s="58"/>
      <c r="H79" s="58"/>
      <c r="I79" s="58"/>
      <c r="O79" s="58"/>
      <c r="P79" s="58"/>
      <c r="R79" s="51"/>
    </row>
    <row r="80" spans="1:249" s="23" customFormat="1" x14ac:dyDescent="0.2">
      <c r="A80" s="52"/>
      <c r="B80" s="192"/>
      <c r="C80" s="58"/>
      <c r="G80" s="58"/>
      <c r="H80" s="52"/>
      <c r="N80" s="58"/>
      <c r="O80" s="52"/>
      <c r="R80" s="51"/>
      <c r="U80" s="58"/>
      <c r="V80" s="52"/>
      <c r="Y80" s="51"/>
      <c r="AB80" s="58"/>
      <c r="AC80" s="52"/>
      <c r="AF80" s="51"/>
      <c r="AI80" s="58"/>
      <c r="AJ80" s="52"/>
      <c r="AM80" s="51"/>
      <c r="AP80" s="58"/>
      <c r="AQ80" s="52"/>
      <c r="AT80" s="51"/>
      <c r="AW80" s="58"/>
      <c r="BL80" s="52"/>
      <c r="BO80" s="51"/>
      <c r="BR80" s="58"/>
      <c r="BS80" s="52"/>
      <c r="BV80" s="51"/>
      <c r="BY80" s="58"/>
    </row>
    <row r="81" spans="1:18" s="23" customFormat="1" x14ac:dyDescent="0.2">
      <c r="A81" s="52"/>
      <c r="B81" s="242"/>
      <c r="C81" s="58"/>
      <c r="D81" s="58"/>
      <c r="E81" s="59"/>
      <c r="F81" s="60"/>
      <c r="G81" s="58"/>
      <c r="H81" s="58"/>
      <c r="I81" s="58"/>
      <c r="O81" s="58"/>
      <c r="P81" s="58"/>
      <c r="R81" s="51"/>
    </row>
    <row r="82" spans="1:18" s="23" customFormat="1" x14ac:dyDescent="0.2">
      <c r="A82" s="52"/>
      <c r="B82" s="242"/>
      <c r="C82" s="58"/>
      <c r="D82" s="58"/>
      <c r="E82" s="59"/>
      <c r="F82" s="60"/>
      <c r="G82" s="58"/>
      <c r="H82" s="58"/>
      <c r="I82" s="58"/>
      <c r="O82" s="58"/>
      <c r="P82" s="58"/>
      <c r="R82" s="51"/>
    </row>
    <row r="83" spans="1:18" s="23" customFormat="1" x14ac:dyDescent="0.2">
      <c r="A83" s="52"/>
      <c r="B83" s="242"/>
      <c r="C83" s="58"/>
      <c r="D83" s="58"/>
      <c r="E83" s="59"/>
      <c r="F83" s="60"/>
      <c r="G83" s="58"/>
      <c r="H83" s="58"/>
      <c r="I83" s="58"/>
      <c r="O83" s="58"/>
      <c r="P83" s="58"/>
      <c r="R83" s="51"/>
    </row>
    <row r="84" spans="1:18" s="23" customFormat="1" x14ac:dyDescent="0.2">
      <c r="A84" s="52"/>
      <c r="B84" s="192"/>
      <c r="C84" s="58"/>
    </row>
    <row r="85" spans="1:18" s="23" customFormat="1" x14ac:dyDescent="0.2">
      <c r="A85" s="52"/>
      <c r="B85" s="242"/>
      <c r="C85" s="58"/>
      <c r="D85" s="58"/>
      <c r="E85" s="59"/>
      <c r="F85" s="60"/>
      <c r="G85" s="58"/>
      <c r="H85" s="58"/>
      <c r="I85" s="58"/>
      <c r="O85" s="58"/>
      <c r="P85" s="58"/>
      <c r="R85" s="51"/>
    </row>
    <row r="86" spans="1:18" s="23" customFormat="1" x14ac:dyDescent="0.2">
      <c r="A86" s="52"/>
      <c r="B86" s="242"/>
      <c r="C86" s="58"/>
      <c r="D86" s="58"/>
      <c r="E86" s="59"/>
      <c r="F86" s="60"/>
      <c r="G86" s="58"/>
      <c r="H86" s="58"/>
      <c r="I86" s="58"/>
      <c r="O86" s="58"/>
      <c r="P86" s="58"/>
      <c r="R86" s="51"/>
    </row>
    <row r="87" spans="1:18" s="23" customFormat="1" x14ac:dyDescent="0.2">
      <c r="A87" s="52"/>
      <c r="B87" s="242"/>
      <c r="C87" s="58"/>
      <c r="D87" s="58"/>
      <c r="E87" s="59"/>
      <c r="F87" s="60"/>
      <c r="G87" s="58"/>
      <c r="H87" s="58"/>
      <c r="I87" s="58"/>
      <c r="O87" s="58"/>
      <c r="P87" s="58"/>
      <c r="R87" s="51"/>
    </row>
    <row r="88" spans="1:18" s="23" customFormat="1" x14ac:dyDescent="0.2">
      <c r="A88" s="52"/>
      <c r="B88" s="242"/>
      <c r="C88" s="58"/>
      <c r="D88" s="241"/>
      <c r="E88" s="61"/>
      <c r="F88" s="60"/>
      <c r="G88" s="58"/>
      <c r="H88" s="58"/>
      <c r="I88" s="58"/>
      <c r="O88" s="58"/>
      <c r="P88" s="58"/>
      <c r="R88" s="51"/>
    </row>
    <row r="89" spans="1:18" s="23" customFormat="1" x14ac:dyDescent="0.2">
      <c r="A89" s="52"/>
      <c r="B89" s="242"/>
      <c r="C89" s="58"/>
      <c r="D89" s="58"/>
      <c r="E89" s="59"/>
      <c r="F89" s="60"/>
      <c r="G89" s="58"/>
      <c r="H89" s="58"/>
      <c r="I89" s="58"/>
      <c r="O89" s="58"/>
      <c r="P89" s="58"/>
      <c r="R89" s="51"/>
    </row>
    <row r="90" spans="1:18" s="23" customFormat="1" x14ac:dyDescent="0.2">
      <c r="A90" s="52"/>
      <c r="B90" s="242"/>
      <c r="C90" s="58"/>
      <c r="D90" s="58"/>
      <c r="E90" s="59"/>
      <c r="F90" s="60"/>
      <c r="G90" s="58"/>
      <c r="H90" s="58"/>
      <c r="I90" s="58"/>
      <c r="O90" s="58"/>
      <c r="P90" s="58"/>
      <c r="R90" s="51"/>
    </row>
    <row r="91" spans="1:18" s="23" customFormat="1" x14ac:dyDescent="0.2">
      <c r="A91" s="52"/>
      <c r="B91" s="242"/>
      <c r="C91" s="58"/>
      <c r="D91" s="58"/>
      <c r="E91" s="59"/>
      <c r="F91" s="60"/>
      <c r="G91" s="58"/>
      <c r="H91" s="58"/>
      <c r="I91" s="58"/>
      <c r="O91" s="58"/>
      <c r="P91" s="58"/>
      <c r="R91" s="51"/>
    </row>
    <row r="92" spans="1:18" s="23" customFormat="1" x14ac:dyDescent="0.2">
      <c r="A92" s="52"/>
      <c r="B92" s="242"/>
      <c r="C92" s="58"/>
      <c r="D92" s="58"/>
      <c r="E92" s="59"/>
      <c r="F92" s="60"/>
      <c r="G92" s="58"/>
      <c r="H92" s="58"/>
      <c r="I92" s="58"/>
      <c r="O92" s="58"/>
      <c r="P92" s="58"/>
      <c r="R92" s="51"/>
    </row>
    <row r="93" spans="1:18" s="23" customFormat="1" x14ac:dyDescent="0.2">
      <c r="A93" s="52"/>
      <c r="B93" s="242"/>
      <c r="C93" s="58"/>
      <c r="D93" s="58"/>
      <c r="E93" s="59"/>
      <c r="F93" s="60"/>
      <c r="G93" s="58"/>
      <c r="H93" s="58"/>
      <c r="I93" s="58"/>
      <c r="O93" s="58"/>
      <c r="P93" s="58"/>
      <c r="R93" s="51"/>
    </row>
    <row r="94" spans="1:18" s="23" customFormat="1" x14ac:dyDescent="0.2">
      <c r="A94" s="52"/>
      <c r="B94" s="242"/>
      <c r="C94" s="58"/>
      <c r="D94" s="58"/>
      <c r="E94" s="61"/>
      <c r="F94" s="60"/>
      <c r="G94" s="58"/>
      <c r="H94" s="58"/>
      <c r="I94" s="58"/>
      <c r="O94" s="58"/>
      <c r="P94" s="58"/>
      <c r="R94" s="51"/>
    </row>
    <row r="95" spans="1:18" s="23" customFormat="1" x14ac:dyDescent="0.2">
      <c r="A95" s="52"/>
      <c r="B95" s="242"/>
      <c r="C95" s="58"/>
      <c r="D95" s="58"/>
      <c r="E95" s="59"/>
      <c r="F95" s="60"/>
      <c r="G95" s="58"/>
      <c r="H95" s="58"/>
      <c r="I95" s="58"/>
      <c r="O95" s="58"/>
      <c r="P95" s="58"/>
      <c r="R95" s="51"/>
    </row>
    <row r="96" spans="1:18" s="23" customFormat="1" x14ac:dyDescent="0.2">
      <c r="A96" s="52"/>
      <c r="B96" s="242"/>
      <c r="C96" s="58"/>
      <c r="D96" s="58"/>
      <c r="E96" s="59"/>
      <c r="F96" s="60"/>
      <c r="G96" s="58"/>
      <c r="H96" s="58"/>
      <c r="I96" s="58"/>
      <c r="O96" s="58"/>
      <c r="P96" s="58"/>
      <c r="R96" s="51"/>
    </row>
    <row r="97" spans="1:18" s="23" customFormat="1" x14ac:dyDescent="0.2">
      <c r="A97" s="52"/>
      <c r="B97" s="242"/>
      <c r="C97" s="58"/>
      <c r="D97" s="58"/>
      <c r="E97" s="59"/>
      <c r="F97" s="60"/>
      <c r="G97" s="58"/>
      <c r="H97" s="58"/>
      <c r="I97" s="58"/>
      <c r="O97" s="58"/>
      <c r="P97" s="58"/>
      <c r="R97" s="51"/>
    </row>
    <row r="98" spans="1:18" s="23" customFormat="1" x14ac:dyDescent="0.2">
      <c r="A98" s="52"/>
      <c r="B98" s="54"/>
      <c r="C98" s="58"/>
      <c r="D98" s="58"/>
      <c r="E98" s="59"/>
      <c r="F98" s="60"/>
      <c r="G98" s="58"/>
      <c r="H98" s="58"/>
      <c r="I98" s="58"/>
      <c r="O98" s="58"/>
      <c r="P98" s="58"/>
      <c r="R98" s="51"/>
    </row>
    <row r="99" spans="1:18" s="23" customFormat="1" x14ac:dyDescent="0.2">
      <c r="A99" s="52"/>
      <c r="B99" s="53"/>
      <c r="C99" s="58"/>
      <c r="D99" s="58"/>
      <c r="E99" s="59"/>
      <c r="F99" s="60"/>
      <c r="G99" s="58"/>
      <c r="H99" s="58"/>
      <c r="I99" s="58"/>
      <c r="O99" s="58"/>
      <c r="P99" s="58"/>
      <c r="R99" s="51"/>
    </row>
    <row r="100" spans="1:18" s="23" customFormat="1" x14ac:dyDescent="0.2">
      <c r="A100" s="52"/>
      <c r="B100" s="53"/>
      <c r="C100" s="58"/>
      <c r="D100" s="58"/>
      <c r="E100" s="59"/>
      <c r="F100" s="60"/>
      <c r="G100" s="58"/>
      <c r="H100" s="58"/>
      <c r="I100" s="58"/>
      <c r="O100" s="58"/>
      <c r="P100" s="58"/>
      <c r="R100" s="51"/>
    </row>
    <row r="101" spans="1:18" s="23" customFormat="1" x14ac:dyDescent="0.2">
      <c r="A101" s="52"/>
      <c r="B101" s="53"/>
      <c r="C101" s="58"/>
      <c r="D101" s="58"/>
      <c r="E101" s="59"/>
      <c r="F101" s="60"/>
      <c r="G101" s="58"/>
      <c r="H101" s="58"/>
      <c r="I101" s="58"/>
      <c r="O101" s="58"/>
      <c r="P101" s="58"/>
      <c r="R101" s="51"/>
    </row>
    <row r="102" spans="1:18" s="23" customFormat="1" x14ac:dyDescent="0.2">
      <c r="A102" s="52"/>
      <c r="B102" s="53"/>
      <c r="C102" s="58"/>
      <c r="D102" s="58"/>
      <c r="E102" s="59"/>
      <c r="F102" s="60"/>
      <c r="G102" s="58"/>
      <c r="H102" s="58"/>
      <c r="I102" s="58"/>
      <c r="O102" s="58"/>
      <c r="P102" s="58"/>
      <c r="R102" s="51"/>
    </row>
    <row r="103" spans="1:18" s="23" customFormat="1" x14ac:dyDescent="0.2">
      <c r="A103" s="52"/>
      <c r="B103" s="53"/>
      <c r="C103" s="58"/>
      <c r="D103" s="58"/>
      <c r="E103" s="59"/>
      <c r="F103" s="60"/>
      <c r="G103" s="58"/>
      <c r="H103" s="58"/>
      <c r="I103" s="58"/>
      <c r="O103" s="58"/>
      <c r="P103" s="58"/>
      <c r="R103" s="51"/>
    </row>
    <row r="104" spans="1:18" s="23" customFormat="1" x14ac:dyDescent="0.2">
      <c r="A104" s="52"/>
      <c r="B104" s="53"/>
      <c r="C104" s="58"/>
      <c r="D104" s="58"/>
      <c r="E104" s="59"/>
      <c r="F104" s="60"/>
      <c r="G104" s="58"/>
      <c r="H104" s="58"/>
      <c r="I104" s="58"/>
      <c r="O104" s="58"/>
      <c r="P104" s="58"/>
      <c r="R104" s="51"/>
    </row>
    <row r="105" spans="1:18" x14ac:dyDescent="0.2">
      <c r="O105" s="12"/>
      <c r="P105" s="12"/>
    </row>
    <row r="106" spans="1:18" x14ac:dyDescent="0.2">
      <c r="O106" s="12"/>
      <c r="P106" s="12"/>
    </row>
    <row r="107" spans="1:18" x14ac:dyDescent="0.2">
      <c r="O107" s="12"/>
      <c r="P107" s="12"/>
    </row>
    <row r="108" spans="1:18" x14ac:dyDescent="0.2">
      <c r="O108" s="12"/>
      <c r="P108" s="12"/>
    </row>
    <row r="109" spans="1:18" x14ac:dyDescent="0.2">
      <c r="O109" s="12"/>
      <c r="P109" s="12"/>
    </row>
    <row r="110" spans="1:18" x14ac:dyDescent="0.2">
      <c r="O110" s="12"/>
      <c r="P110" s="12"/>
    </row>
    <row r="111" spans="1:18" x14ac:dyDescent="0.2">
      <c r="O111" s="12"/>
      <c r="P111" s="12"/>
    </row>
    <row r="112" spans="1:18" x14ac:dyDescent="0.2">
      <c r="O112" s="12"/>
      <c r="P112" s="12"/>
    </row>
    <row r="113" spans="15:16" x14ac:dyDescent="0.2">
      <c r="O113" s="12"/>
      <c r="P113" s="12"/>
    </row>
    <row r="114" spans="15:16" x14ac:dyDescent="0.2">
      <c r="O114" s="12"/>
      <c r="P114" s="12"/>
    </row>
    <row r="115" spans="15:16" x14ac:dyDescent="0.2">
      <c r="O115" s="12"/>
      <c r="P115" s="12"/>
    </row>
    <row r="116" spans="15:16" x14ac:dyDescent="0.2">
      <c r="O116" s="12"/>
      <c r="P116" s="12"/>
    </row>
    <row r="117" spans="15:16" x14ac:dyDescent="0.2">
      <c r="O117" s="12"/>
      <c r="P117" s="12"/>
    </row>
    <row r="118" spans="15:16" x14ac:dyDescent="0.2">
      <c r="O118" s="12"/>
      <c r="P118" s="12"/>
    </row>
    <row r="119" spans="15:16" x14ac:dyDescent="0.2">
      <c r="O119" s="12"/>
      <c r="P119" s="12"/>
    </row>
    <row r="120" spans="15:16" x14ac:dyDescent="0.2">
      <c r="O120" s="12"/>
      <c r="P120" s="12"/>
    </row>
    <row r="121" spans="15:16" x14ac:dyDescent="0.2">
      <c r="O121" s="12"/>
      <c r="P121" s="12"/>
    </row>
    <row r="122" spans="15:16" x14ac:dyDescent="0.2">
      <c r="O122" s="12"/>
      <c r="P122" s="12"/>
    </row>
    <row r="123" spans="15:16" x14ac:dyDescent="0.2">
      <c r="O123" s="12"/>
      <c r="P123" s="12"/>
    </row>
    <row r="124" spans="15:16" x14ac:dyDescent="0.2">
      <c r="O124" s="12"/>
      <c r="P124" s="12"/>
    </row>
    <row r="125" spans="15:16" x14ac:dyDescent="0.2">
      <c r="O125" s="12"/>
      <c r="P125" s="12"/>
    </row>
    <row r="126" spans="15:16" x14ac:dyDescent="0.2">
      <c r="O126" s="12"/>
      <c r="P126" s="12"/>
    </row>
    <row r="127" spans="15:16" x14ac:dyDescent="0.2">
      <c r="O127" s="12"/>
      <c r="P127" s="12"/>
    </row>
    <row r="128" spans="15:16" x14ac:dyDescent="0.2">
      <c r="O128" s="12"/>
      <c r="P128" s="12"/>
    </row>
    <row r="129" spans="15:16" x14ac:dyDescent="0.2">
      <c r="O129" s="12"/>
      <c r="P129" s="12"/>
    </row>
    <row r="130" spans="15:16" x14ac:dyDescent="0.2">
      <c r="O130" s="12"/>
      <c r="P130" s="12"/>
    </row>
    <row r="131" spans="15:16" x14ac:dyDescent="0.2">
      <c r="O131" s="12"/>
      <c r="P131" s="12"/>
    </row>
    <row r="132" spans="15:16" x14ac:dyDescent="0.2">
      <c r="O132" s="12"/>
      <c r="P132" s="12"/>
    </row>
    <row r="133" spans="15:16" x14ac:dyDescent="0.2">
      <c r="O133" s="12"/>
      <c r="P133" s="12"/>
    </row>
    <row r="134" spans="15:16" x14ac:dyDescent="0.2">
      <c r="O134" s="12"/>
      <c r="P134" s="12"/>
    </row>
    <row r="135" spans="15:16" x14ac:dyDescent="0.2">
      <c r="O135" s="12"/>
      <c r="P135" s="12"/>
    </row>
    <row r="136" spans="15:16" x14ac:dyDescent="0.2">
      <c r="O136" s="12"/>
      <c r="P136" s="12"/>
    </row>
    <row r="137" spans="15:16" x14ac:dyDescent="0.2">
      <c r="O137" s="12"/>
      <c r="P137" s="12"/>
    </row>
    <row r="138" spans="15:16" x14ac:dyDescent="0.2">
      <c r="O138" s="12"/>
      <c r="P138" s="12"/>
    </row>
    <row r="139" spans="15:16" x14ac:dyDescent="0.2">
      <c r="O139" s="12"/>
      <c r="P139" s="12"/>
    </row>
    <row r="140" spans="15:16" x14ac:dyDescent="0.2">
      <c r="O140" s="12"/>
      <c r="P140" s="12"/>
    </row>
    <row r="141" spans="15:16" x14ac:dyDescent="0.2">
      <c r="O141" s="12"/>
      <c r="P141" s="12"/>
    </row>
    <row r="142" spans="15:16" x14ac:dyDescent="0.2">
      <c r="O142" s="12"/>
      <c r="P142" s="12"/>
    </row>
    <row r="143" spans="15:16" x14ac:dyDescent="0.2">
      <c r="O143" s="12"/>
      <c r="P143" s="12"/>
    </row>
    <row r="144" spans="15:16" x14ac:dyDescent="0.2">
      <c r="O144" s="12"/>
      <c r="P144" s="12"/>
    </row>
    <row r="145" spans="15:16" x14ac:dyDescent="0.2">
      <c r="O145" s="12"/>
      <c r="P145" s="12"/>
    </row>
    <row r="146" spans="15:16" x14ac:dyDescent="0.2">
      <c r="O146" s="12"/>
      <c r="P146" s="12"/>
    </row>
    <row r="147" spans="15:16" x14ac:dyDescent="0.2">
      <c r="O147" s="12"/>
      <c r="P147" s="12"/>
    </row>
    <row r="148" spans="15:16" x14ac:dyDescent="0.2">
      <c r="O148" s="12"/>
      <c r="P148" s="12"/>
    </row>
    <row r="149" spans="15:16" x14ac:dyDescent="0.2">
      <c r="O149" s="12"/>
      <c r="P149" s="12"/>
    </row>
    <row r="150" spans="15:16" x14ac:dyDescent="0.2">
      <c r="O150" s="12"/>
      <c r="P150" s="12"/>
    </row>
    <row r="151" spans="15:16" x14ac:dyDescent="0.2">
      <c r="O151" s="12"/>
      <c r="P151" s="12"/>
    </row>
    <row r="152" spans="15:16" x14ac:dyDescent="0.2">
      <c r="O152" s="12"/>
      <c r="P152" s="12"/>
    </row>
    <row r="153" spans="15:16" x14ac:dyDescent="0.2">
      <c r="O153" s="12"/>
      <c r="P153" s="12"/>
    </row>
    <row r="154" spans="15:16" x14ac:dyDescent="0.2">
      <c r="O154" s="12"/>
      <c r="P154" s="12"/>
    </row>
    <row r="155" spans="15:16" x14ac:dyDescent="0.2">
      <c r="O155" s="12"/>
      <c r="P155" s="12"/>
    </row>
    <row r="156" spans="15:16" x14ac:dyDescent="0.2">
      <c r="O156" s="12"/>
      <c r="P156" s="12"/>
    </row>
    <row r="157" spans="15:16" x14ac:dyDescent="0.2">
      <c r="O157" s="12"/>
      <c r="P157" s="12"/>
    </row>
    <row r="158" spans="15:16" x14ac:dyDescent="0.2">
      <c r="O158" s="12"/>
      <c r="P158" s="12"/>
    </row>
    <row r="159" spans="15:16" x14ac:dyDescent="0.2">
      <c r="O159" s="12"/>
      <c r="P159" s="12"/>
    </row>
    <row r="160" spans="15:16" x14ac:dyDescent="0.2">
      <c r="O160" s="12"/>
      <c r="P160" s="12"/>
    </row>
  </sheetData>
  <mergeCells count="20">
    <mergeCell ref="C5:G5"/>
    <mergeCell ref="J5:N5"/>
    <mergeCell ref="Q5:U5"/>
    <mergeCell ref="X5:AB5"/>
    <mergeCell ref="AE5:AI5"/>
    <mergeCell ref="EF5:EJ5"/>
    <mergeCell ref="DD5:DH5"/>
    <mergeCell ref="DK5:DO5"/>
    <mergeCell ref="DR5:DV5"/>
    <mergeCell ref="DY5:EC5"/>
    <mergeCell ref="CW5:DA5"/>
    <mergeCell ref="BG5:BK5"/>
    <mergeCell ref="BN5:BR5"/>
    <mergeCell ref="BU5:BY5"/>
    <mergeCell ref="CB5:CF5"/>
    <mergeCell ref="AL5:AP5"/>
    <mergeCell ref="AS5:AW5"/>
    <mergeCell ref="AZ5:BD5"/>
    <mergeCell ref="CI5:CM5"/>
    <mergeCell ref="CP5:CT5"/>
  </mergeCells>
  <phoneticPr fontId="24" type="noConversion"/>
  <printOptions gridLines="1" gridLinesSet="0"/>
  <pageMargins left="0.78740157480314965" right="0.59055118110236227" top="0.78740157480314965" bottom="0.78740157480314965" header="0.51181102362204722" footer="0.51181102362204722"/>
  <pageSetup paperSize="9" scale="65" orientation="portrait" r:id="rId1"/>
  <headerFooter alignWithMargins="0">
    <oddFooter>&amp;L&amp;6&amp;F&amp;C&amp;6&amp;A  &amp;D&amp;R&amp;6Kontakt: patrik.mouron.faw.admin.ch</oddFooter>
  </headerFooter>
  <colBreaks count="4" manualBreakCount="4">
    <brk id="7" max="1048575" man="1"/>
    <brk id="14" max="1048575" man="1"/>
    <brk id="21" max="1048575" man="1"/>
    <brk id="42" max="1048575" man="1"/>
  </col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VarianteErtragsphase">
    <tabColor indexed="17"/>
  </sheetPr>
  <dimension ref="A1:K168"/>
  <sheetViews>
    <sheetView tabSelected="1" topLeftCell="A7" zoomScale="85" zoomScaleNormal="85" workbookViewId="0">
      <selection activeCell="H56" sqref="H56"/>
    </sheetView>
  </sheetViews>
  <sheetFormatPr baseColWidth="10" defaultRowHeight="12.75" x14ac:dyDescent="0.2"/>
  <cols>
    <col min="1" max="1" width="38" customWidth="1"/>
    <col min="2" max="2" width="28" customWidth="1"/>
    <col min="3" max="3" width="17.7109375" customWidth="1"/>
    <col min="4" max="5" width="14.7109375" customWidth="1"/>
    <col min="6" max="6" width="14.42578125" customWidth="1"/>
    <col min="7" max="7" width="10.7109375" customWidth="1"/>
    <col min="8" max="8" width="9.42578125" customWidth="1"/>
    <col min="9" max="9" width="15.5703125" customWidth="1"/>
    <col min="10" max="10" width="13.7109375" style="12" customWidth="1"/>
    <col min="11" max="11" width="11.42578125" style="18" customWidth="1"/>
  </cols>
  <sheetData>
    <row r="1" spans="1:11" ht="31.5" customHeight="1" x14ac:dyDescent="0.25">
      <c r="A1" s="1036" t="str">
        <f>'Variante Vorgaben'!A1</f>
        <v>Arbokost 2023</v>
      </c>
      <c r="B1" s="636" t="str">
        <f>'Variante Erstellung'!B1</f>
        <v>Tafelbirnen</v>
      </c>
      <c r="C1" s="448"/>
      <c r="D1" s="448"/>
      <c r="E1" s="452"/>
      <c r="F1" s="450"/>
      <c r="G1" s="637"/>
      <c r="H1" s="70"/>
    </row>
    <row r="2" spans="1:11" ht="24.75" customHeight="1" x14ac:dyDescent="0.3">
      <c r="A2" s="871" t="str">
        <f>'Variante Vorgaben'!A2</f>
        <v>Variante 1ha</v>
      </c>
      <c r="B2" s="638">
        <f>'Variante Vorgaben'!B11</f>
        <v>2000</v>
      </c>
      <c r="C2" s="1284"/>
      <c r="D2" s="1284"/>
      <c r="E2" s="1284"/>
      <c r="F2" s="1284"/>
      <c r="G2" s="640"/>
      <c r="H2" s="1"/>
      <c r="I2" s="1"/>
    </row>
    <row r="3" spans="1:11" ht="15" customHeight="1" x14ac:dyDescent="0.3">
      <c r="A3" s="643"/>
      <c r="B3" s="638"/>
      <c r="C3" s="639"/>
      <c r="D3" s="639"/>
      <c r="E3" s="639"/>
      <c r="F3" s="639"/>
      <c r="G3" s="640"/>
      <c r="H3" s="1"/>
      <c r="I3" s="1"/>
    </row>
    <row r="4" spans="1:11" ht="15" customHeight="1" x14ac:dyDescent="0.3">
      <c r="A4" s="643"/>
      <c r="B4" s="638"/>
      <c r="C4" s="639"/>
      <c r="D4" s="639"/>
      <c r="E4" s="639"/>
      <c r="F4" s="248" t="s">
        <v>110</v>
      </c>
      <c r="G4" s="640"/>
      <c r="H4" s="1"/>
      <c r="I4" s="1"/>
    </row>
    <row r="5" spans="1:11" ht="23.25" x14ac:dyDescent="0.35">
      <c r="A5" s="820" t="s">
        <v>80</v>
      </c>
      <c r="B5" s="274" t="s">
        <v>176</v>
      </c>
      <c r="C5" s="547"/>
      <c r="D5" s="821"/>
      <c r="E5" s="822"/>
      <c r="F5" s="822"/>
      <c r="G5" s="823"/>
    </row>
    <row r="6" spans="1:11" ht="15.75" x14ac:dyDescent="0.25">
      <c r="A6" s="1"/>
      <c r="B6" s="23"/>
      <c r="C6" s="23"/>
      <c r="D6" s="216"/>
      <c r="E6" s="1"/>
      <c r="F6" s="1"/>
      <c r="G6" s="126"/>
      <c r="I6" s="2"/>
    </row>
    <row r="7" spans="1:11" x14ac:dyDescent="0.2">
      <c r="C7" s="33" t="s">
        <v>71</v>
      </c>
      <c r="D7" s="33" t="s">
        <v>55</v>
      </c>
      <c r="E7" s="34" t="s">
        <v>178</v>
      </c>
      <c r="F7" s="330" t="s">
        <v>22</v>
      </c>
      <c r="G7" s="36"/>
      <c r="I7" s="1"/>
    </row>
    <row r="8" spans="1:11" s="1" customFormat="1" x14ac:dyDescent="0.2">
      <c r="A8" s="106" t="s">
        <v>259</v>
      </c>
      <c r="B8" s="125" t="str">
        <f>'Variante Vorgaben'!B46</f>
        <v>Klasse I</v>
      </c>
      <c r="C8" s="115">
        <f>D8/$B$2</f>
        <v>11.199999999999998</v>
      </c>
      <c r="D8" s="61">
        <f>D11*G8</f>
        <v>22399.999999999996</v>
      </c>
      <c r="E8" s="59">
        <f>'Variante Vorgaben'!B69</f>
        <v>1.22</v>
      </c>
      <c r="F8" s="60">
        <f>D8*E8</f>
        <v>27327.999999999996</v>
      </c>
      <c r="G8" s="211">
        <f>'Variante Vorgaben'!B95</f>
        <v>0.69999999999999984</v>
      </c>
      <c r="J8" s="46"/>
      <c r="K8" s="181"/>
    </row>
    <row r="9" spans="1:11" s="1" customFormat="1" x14ac:dyDescent="0.2">
      <c r="B9" s="106" t="str">
        <f>'Variante Vorgaben'!C46</f>
        <v>Klasse II</v>
      </c>
      <c r="C9" s="115">
        <f>D9/$B$2</f>
        <v>0.80000000000000016</v>
      </c>
      <c r="D9" s="61">
        <f>$D$11*G9</f>
        <v>1600.0000000000002</v>
      </c>
      <c r="E9" s="59">
        <f>'Variante Vorgaben'!C69</f>
        <v>0.40000000000000008</v>
      </c>
      <c r="F9" s="60">
        <f>D9*E9</f>
        <v>640.00000000000023</v>
      </c>
      <c r="G9" s="211">
        <f>'Variante Vorgaben'!C95</f>
        <v>5.000000000000001E-2</v>
      </c>
      <c r="J9" s="46"/>
      <c r="K9" s="181"/>
    </row>
    <row r="10" spans="1:11" s="23" customFormat="1" x14ac:dyDescent="0.2">
      <c r="A10" s="216"/>
      <c r="B10" s="125" t="str">
        <f>'Variante Vorgaben'!D46</f>
        <v>Mostobst total</v>
      </c>
      <c r="C10" s="116">
        <f>D10/$B$2</f>
        <v>4</v>
      </c>
      <c r="D10" s="117">
        <f>D11*G10</f>
        <v>8000</v>
      </c>
      <c r="E10" s="602">
        <f>'Variante Vorgaben'!D69</f>
        <v>0</v>
      </c>
      <c r="F10" s="118">
        <f>D10*E10</f>
        <v>0</v>
      </c>
      <c r="G10" s="649">
        <f>'Variante Vorgaben'!F95</f>
        <v>0.25</v>
      </c>
      <c r="J10" s="58"/>
      <c r="K10" s="192"/>
    </row>
    <row r="11" spans="1:11" s="1" customFormat="1" ht="19.5" customHeight="1" x14ac:dyDescent="0.2">
      <c r="B11" s="125"/>
      <c r="C11" s="85">
        <f>SUM(C8:C10)</f>
        <v>15.999999999999998</v>
      </c>
      <c r="D11" s="921">
        <f>'Variante Vorgaben'!E69</f>
        <v>32000</v>
      </c>
      <c r="E11" s="86">
        <f>F11/D11</f>
        <v>0.87399999999999989</v>
      </c>
      <c r="F11" s="119">
        <f>SUM(F8:F10)</f>
        <v>27967.999999999996</v>
      </c>
      <c r="G11" s="211">
        <f>SUM(G7:G10)</f>
        <v>0.99999999999999989</v>
      </c>
      <c r="I11" s="8"/>
      <c r="J11" s="46"/>
      <c r="K11" s="181"/>
    </row>
    <row r="12" spans="1:11" s="1" customFormat="1" ht="12" customHeight="1" x14ac:dyDescent="0.2">
      <c r="A12" s="52"/>
      <c r="B12" s="125" t="str">
        <f>'Variante Vorgaben'!A40</f>
        <v>Direktzahlungen ÖLN</v>
      </c>
      <c r="C12" s="84"/>
      <c r="D12" s="85"/>
      <c r="E12" s="86"/>
      <c r="F12" s="650">
        <f>'Variante Vorgaben'!C40</f>
        <v>1100</v>
      </c>
      <c r="G12" s="211"/>
      <c r="I12" s="651"/>
      <c r="J12" s="46"/>
      <c r="K12" s="181"/>
    </row>
    <row r="13" spans="1:11" ht="15.75" customHeight="1" thickBot="1" x14ac:dyDescent="0.3">
      <c r="A13" s="604" t="s">
        <v>341</v>
      </c>
      <c r="B13" s="654"/>
      <c r="C13" s="654"/>
      <c r="D13" s="654"/>
      <c r="E13" s="654"/>
      <c r="F13" s="1210">
        <f>SUM(F11:F12)</f>
        <v>29067.999999999996</v>
      </c>
      <c r="G13" s="655"/>
    </row>
    <row r="14" spans="1:11" x14ac:dyDescent="0.2">
      <c r="A14" s="4"/>
      <c r="B14" s="4"/>
      <c r="C14" s="33" t="s">
        <v>11</v>
      </c>
      <c r="D14" s="33" t="s">
        <v>152</v>
      </c>
      <c r="E14" s="34" t="s">
        <v>56</v>
      </c>
      <c r="F14" s="41" t="s">
        <v>13</v>
      </c>
      <c r="G14" s="36" t="s">
        <v>58</v>
      </c>
    </row>
    <row r="15" spans="1:11" s="4" customFormat="1" x14ac:dyDescent="0.2">
      <c r="A15" s="3" t="s">
        <v>29</v>
      </c>
      <c r="B15" s="4" t="str">
        <f>'Variante Vorgaben'!B109</f>
        <v>Stickstoff</v>
      </c>
      <c r="C15" s="608">
        <f>'Variante Vorgaben'!B125</f>
        <v>2</v>
      </c>
      <c r="D15" s="608">
        <f>'Variante Vorgaben'!B124</f>
        <v>200</v>
      </c>
      <c r="E15" s="152">
        <f>'Variante Vorgaben'!B110</f>
        <v>0.95</v>
      </c>
      <c r="F15" s="198">
        <f>D15*E15</f>
        <v>190</v>
      </c>
      <c r="G15" s="211">
        <f>F15/$F$66</f>
        <v>4.8553118956467965E-3</v>
      </c>
      <c r="J15" s="608"/>
      <c r="K15" s="824"/>
    </row>
    <row r="16" spans="1:11" s="4" customFormat="1" x14ac:dyDescent="0.2">
      <c r="A16" s="3"/>
      <c r="B16" s="4" t="str">
        <f>'Variante Vorgaben'!C109</f>
        <v>Gurnddüngung</v>
      </c>
      <c r="C16" s="54">
        <f>'Variante Vorgaben'!C125</f>
        <v>1</v>
      </c>
      <c r="D16" s="608">
        <f>'Variante Vorgaben'!C124</f>
        <v>400</v>
      </c>
      <c r="E16" s="152">
        <f>'Variante Vorgaben'!C110</f>
        <v>0.43</v>
      </c>
      <c r="F16" s="56">
        <f>D16*E16</f>
        <v>172</v>
      </c>
      <c r="G16" s="211">
        <f>F16/$F$66</f>
        <v>4.3953349792171005E-3</v>
      </c>
      <c r="J16" s="608"/>
      <c r="K16" s="824"/>
    </row>
    <row r="17" spans="1:11" s="4" customFormat="1" x14ac:dyDescent="0.2">
      <c r="A17" s="3"/>
      <c r="B17" s="4" t="str">
        <f>'Variante Vorgaben'!$D$109</f>
        <v>Hühnermist</v>
      </c>
      <c r="C17" s="502">
        <f>'Variante Vorgaben'!$D$125</f>
        <v>1</v>
      </c>
      <c r="D17" s="192">
        <f>'Variante Vorgaben'!$D$124</f>
        <v>1000</v>
      </c>
      <c r="E17" s="59">
        <f>'Variante Vorgaben'!$D$110</f>
        <v>0.35</v>
      </c>
      <c r="F17" s="118">
        <f>C17*D17*E17</f>
        <v>350</v>
      </c>
      <c r="G17" s="211"/>
      <c r="J17" s="608"/>
      <c r="K17" s="824"/>
    </row>
    <row r="18" spans="1:11" s="4" customFormat="1" x14ac:dyDescent="0.2">
      <c r="A18" s="825"/>
      <c r="C18" s="46">
        <f>SUM(C15:C17)</f>
        <v>4</v>
      </c>
      <c r="D18" s="46"/>
      <c r="E18" s="62"/>
      <c r="F18" s="77">
        <f>SUM(F15:F17)</f>
        <v>712</v>
      </c>
      <c r="G18" s="211">
        <f>F18/$F$66</f>
        <v>1.8194642472107996E-2</v>
      </c>
      <c r="J18" s="608"/>
      <c r="K18" s="824"/>
    </row>
    <row r="19" spans="1:11" s="4" customFormat="1" ht="18.75" customHeight="1" x14ac:dyDescent="0.2">
      <c r="A19" s="3"/>
      <c r="B19" s="187"/>
      <c r="C19" s="143"/>
      <c r="D19" s="46"/>
      <c r="E19" s="609"/>
      <c r="F19" s="43"/>
      <c r="G19" s="211"/>
      <c r="J19" s="608"/>
      <c r="K19" s="824"/>
    </row>
    <row r="20" spans="1:11" s="4" customFormat="1" x14ac:dyDescent="0.2">
      <c r="A20" s="110" t="str">
        <f>'Variante Vorgaben'!$A$130</f>
        <v>Fungizide</v>
      </c>
      <c r="B20" s="187"/>
      <c r="C20" s="143"/>
      <c r="D20" s="46"/>
      <c r="E20" s="609"/>
      <c r="F20" s="56">
        <f>'Variante Vorgaben'!$F$130*(1+Eingabeseite!$C$26)</f>
        <v>1100</v>
      </c>
      <c r="G20" s="211">
        <f>F20/$F$66</f>
        <v>2.8109700448481455E-2</v>
      </c>
      <c r="J20" s="608"/>
      <c r="K20" s="824"/>
    </row>
    <row r="21" spans="1:11" s="4" customFormat="1" x14ac:dyDescent="0.2">
      <c r="A21" s="110" t="str">
        <f>'Variante Vorgaben'!$A$131</f>
        <v>Feuerbrandbehandlungen</v>
      </c>
      <c r="B21" s="187"/>
      <c r="C21" s="143"/>
      <c r="D21" s="46"/>
      <c r="E21" s="609"/>
      <c r="F21" s="56">
        <f>'Variante Vorgaben'!$F$131*(1+Eingabeseite!$C$26)</f>
        <v>550</v>
      </c>
      <c r="G21" s="211">
        <f>F21/$F$66</f>
        <v>1.4054850224240727E-2</v>
      </c>
      <c r="H21" s="3"/>
      <c r="J21" s="608"/>
      <c r="K21" s="824"/>
    </row>
    <row r="22" spans="1:11" s="4" customFormat="1" x14ac:dyDescent="0.2">
      <c r="A22" s="110" t="str">
        <f>'Variante Vorgaben'!$A$132</f>
        <v>Insektizide</v>
      </c>
      <c r="B22" s="187"/>
      <c r="C22" s="143"/>
      <c r="D22" s="46"/>
      <c r="E22" s="609"/>
      <c r="F22" s="60">
        <f>'Variante Vorgaben'!$F$132*(1+Eingabeseite!$C$26)</f>
        <v>2020</v>
      </c>
      <c r="G22" s="211">
        <f>F22/$F$66</f>
        <v>5.1619631732665948E-2</v>
      </c>
      <c r="H22" s="3"/>
      <c r="J22" s="608"/>
      <c r="K22" s="824"/>
    </row>
    <row r="23" spans="1:11" s="4" customFormat="1" x14ac:dyDescent="0.2">
      <c r="A23" s="110" t="str">
        <f>'Variante Vorgaben'!$A$133</f>
        <v>Herbizide</v>
      </c>
      <c r="B23" s="187"/>
      <c r="C23" s="143"/>
      <c r="D23" s="46"/>
      <c r="E23" s="609"/>
      <c r="F23" s="56">
        <f>'Variante Vorgaben'!$F$133*(1+Eingabeseite!$C$26)</f>
        <v>570</v>
      </c>
      <c r="G23" s="211">
        <f>F23/$F$66</f>
        <v>1.456593568694039E-2</v>
      </c>
      <c r="I23" s="826"/>
      <c r="J23" s="608"/>
      <c r="K23" s="824"/>
    </row>
    <row r="24" spans="1:11" s="4" customFormat="1" x14ac:dyDescent="0.2">
      <c r="A24" s="110" t="str">
        <f>'Variante Vorgaben'!$A$134</f>
        <v>Blatddüngung</v>
      </c>
      <c r="B24" s="187"/>
      <c r="C24" s="143"/>
      <c r="D24" s="46"/>
      <c r="E24" s="609"/>
      <c r="F24" s="199">
        <f>'Variante Vorgaben'!$F$134*(1+Eingabeseite!$C$27)</f>
        <v>440</v>
      </c>
      <c r="G24" s="211"/>
      <c r="J24" s="608"/>
      <c r="K24" s="824"/>
    </row>
    <row r="25" spans="1:11" s="4" customFormat="1" x14ac:dyDescent="0.2">
      <c r="A25" s="223"/>
      <c r="B25" s="187"/>
      <c r="C25" s="143"/>
      <c r="D25" s="46"/>
      <c r="E25" s="609"/>
      <c r="F25" s="77">
        <f>SUM(F20:F24)</f>
        <v>4680</v>
      </c>
      <c r="G25" s="211"/>
      <c r="J25" s="608"/>
      <c r="K25" s="824"/>
    </row>
    <row r="26" spans="1:11" s="4" customFormat="1" x14ac:dyDescent="0.2">
      <c r="A26" s="825"/>
      <c r="B26" s="224"/>
      <c r="C26" s="827"/>
      <c r="D26" s="608"/>
      <c r="E26" s="152"/>
      <c r="F26" s="77"/>
      <c r="G26" s="211"/>
      <c r="J26" s="608"/>
      <c r="K26" s="824"/>
    </row>
    <row r="27" spans="1:11" s="4" customFormat="1" x14ac:dyDescent="0.2">
      <c r="A27" s="3" t="s">
        <v>473</v>
      </c>
      <c r="B27" s="4" t="str">
        <f>'Variante Vorgaben'!F39</f>
        <v>Klasse I+II</v>
      </c>
      <c r="D27" s="4" t="s">
        <v>151</v>
      </c>
      <c r="E27" s="152">
        <f>'Variante Vorgaben'!G39</f>
        <v>325</v>
      </c>
      <c r="F27" s="198">
        <f>E27</f>
        <v>325</v>
      </c>
      <c r="G27" s="211">
        <f t="shared" ref="G27:G36" si="0">F27/$F$66</f>
        <v>8.3051387688695202E-3</v>
      </c>
      <c r="J27" s="608"/>
      <c r="K27" s="824"/>
    </row>
    <row r="28" spans="1:11" s="4" customFormat="1" x14ac:dyDescent="0.2">
      <c r="A28" s="3"/>
      <c r="B28" s="4" t="str">
        <f>'Variante Vorgaben'!F40</f>
        <v>Mostobst total</v>
      </c>
      <c r="D28" s="4" t="s">
        <v>59</v>
      </c>
      <c r="E28" s="152">
        <f>'Variante Vorgaben'!G40</f>
        <v>1</v>
      </c>
      <c r="F28" s="198">
        <f>E28*$D$10/100</f>
        <v>80</v>
      </c>
      <c r="G28" s="211">
        <f t="shared" si="0"/>
        <v>2.0443418507986514E-3</v>
      </c>
      <c r="J28" s="608"/>
      <c r="K28" s="824"/>
    </row>
    <row r="29" spans="1:11" s="4" customFormat="1" x14ac:dyDescent="0.2">
      <c r="A29" s="223" t="str">
        <f>'Variante Vorgaben'!E42</f>
        <v>Gebindekosten</v>
      </c>
      <c r="B29" s="499" t="str">
        <f>'Variante Vorgaben'!F42</f>
        <v>Klasse I+II</v>
      </c>
      <c r="D29" s="4" t="s">
        <v>59</v>
      </c>
      <c r="E29" s="828">
        <f>'Variante Vorgaben'!G42</f>
        <v>0</v>
      </c>
      <c r="F29" s="198">
        <f>($D$8+$D$9)/100*E29</f>
        <v>0</v>
      </c>
      <c r="G29" s="211">
        <f t="shared" si="0"/>
        <v>0</v>
      </c>
      <c r="J29" s="608"/>
      <c r="K29" s="824"/>
    </row>
    <row r="30" spans="1:11" s="4" customFormat="1" x14ac:dyDescent="0.2">
      <c r="A30" s="223" t="str">
        <f>'Variante Vorgaben'!E43</f>
        <v>Sortierkosten</v>
      </c>
      <c r="B30" s="4" t="str">
        <f>'Variante Vorgaben'!F43</f>
        <v>Klasse I+II</v>
      </c>
      <c r="D30" s="4" t="s">
        <v>59</v>
      </c>
      <c r="E30" s="152">
        <f>'Variante Vorgaben'!G43</f>
        <v>0</v>
      </c>
      <c r="F30" s="198">
        <f>($D$8+$D$9)/100*E30</f>
        <v>0</v>
      </c>
      <c r="G30" s="211">
        <f t="shared" si="0"/>
        <v>0</v>
      </c>
      <c r="J30" s="608"/>
      <c r="K30" s="824"/>
    </row>
    <row r="31" spans="1:11" s="4" customFormat="1" x14ac:dyDescent="0.2">
      <c r="A31" s="223"/>
      <c r="B31" s="4" t="str">
        <f>'Variante Vorgaben'!E15</f>
        <v>Mostobst Sortierabgang</v>
      </c>
      <c r="D31" s="4" t="s">
        <v>59</v>
      </c>
      <c r="E31" s="152">
        <f>'Variante Vorgaben'!G44</f>
        <v>0</v>
      </c>
      <c r="F31" s="199">
        <f>(E31/100)*('Variante Vorgaben'!D95*'Variante Vorgaben'!E69)</f>
        <v>0</v>
      </c>
      <c r="G31" s="211">
        <f t="shared" si="0"/>
        <v>0</v>
      </c>
      <c r="J31" s="608"/>
      <c r="K31" s="824"/>
    </row>
    <row r="32" spans="1:11" s="4" customFormat="1" x14ac:dyDescent="0.2">
      <c r="A32" s="829"/>
      <c r="E32" s="152"/>
      <c r="F32" s="77">
        <f>SUM(F27:F31)</f>
        <v>405</v>
      </c>
      <c r="G32" s="211">
        <f t="shared" si="0"/>
        <v>1.0349480619668172E-2</v>
      </c>
      <c r="J32" s="608"/>
      <c r="K32" s="824"/>
    </row>
    <row r="33" spans="1:11" s="4" customFormat="1" ht="36" customHeight="1" x14ac:dyDescent="0.2">
      <c r="A33" s="830" t="s">
        <v>223</v>
      </c>
      <c r="B33" s="278" t="s">
        <v>371</v>
      </c>
      <c r="C33" s="831">
        <f>'Variante 1.-20. Standjahr'!AH72</f>
        <v>134136.23908068184</v>
      </c>
      <c r="D33" s="832">
        <f>'Variante Vorgaben'!B30</f>
        <v>15</v>
      </c>
      <c r="E33" s="833"/>
      <c r="F33" s="831">
        <f>C33/D33</f>
        <v>8942.4159387121235</v>
      </c>
      <c r="G33" s="834">
        <f t="shared" si="0"/>
        <v>0.22851693938447626</v>
      </c>
      <c r="J33" s="608"/>
      <c r="K33" s="824"/>
    </row>
    <row r="34" spans="1:11" s="4" customFormat="1" ht="13.5" thickBot="1" x14ac:dyDescent="0.25">
      <c r="A34" s="3" t="s">
        <v>582</v>
      </c>
      <c r="B34" s="612">
        <f>'Variante Vorgaben'!$E$168+'Variante Vorgaben'!$E$169</f>
        <v>300</v>
      </c>
      <c r="C34" s="605"/>
      <c r="D34" s="156"/>
      <c r="E34" s="606"/>
      <c r="F34" s="925">
        <f>B34+E34+'Variante Bewässerung'!$H$54</f>
        <v>1607.8</v>
      </c>
      <c r="G34" s="211">
        <f t="shared" si="0"/>
        <v>4.1086160346425891E-2</v>
      </c>
      <c r="J34" s="608"/>
      <c r="K34" s="824"/>
    </row>
    <row r="35" spans="1:11" x14ac:dyDescent="0.2">
      <c r="A35" s="614" t="s">
        <v>256</v>
      </c>
      <c r="B35" s="615"/>
      <c r="C35" s="616"/>
      <c r="D35" s="616"/>
      <c r="E35" s="617"/>
      <c r="F35" s="618">
        <f>F18+F25+F32+F33+F34</f>
        <v>16347.215938712123</v>
      </c>
      <c r="G35" s="42">
        <f t="shared" si="0"/>
        <v>0.41774122109439943</v>
      </c>
    </row>
    <row r="36" spans="1:11" ht="24" customHeight="1" x14ac:dyDescent="0.2">
      <c r="A36" s="16" t="s">
        <v>207</v>
      </c>
      <c r="C36" s="187" t="s">
        <v>60</v>
      </c>
      <c r="D36" s="619">
        <f>'Variante Vorgaben'!C166</f>
        <v>10</v>
      </c>
      <c r="E36" s="62">
        <f>'Variante Vorgaben'!D166</f>
        <v>15</v>
      </c>
      <c r="F36" s="77">
        <f>D36*E36</f>
        <v>150</v>
      </c>
      <c r="G36" s="42">
        <f t="shared" si="0"/>
        <v>3.8331409702474714E-3</v>
      </c>
      <c r="J36" s="186" t="s">
        <v>122</v>
      </c>
    </row>
    <row r="37" spans="1:11" ht="18" customHeight="1" x14ac:dyDescent="0.2">
      <c r="C37" s="49" t="s">
        <v>11</v>
      </c>
      <c r="D37" s="123" t="s">
        <v>111</v>
      </c>
      <c r="E37" s="10" t="s">
        <v>112</v>
      </c>
      <c r="F37" s="124" t="s">
        <v>22</v>
      </c>
      <c r="G37" s="42"/>
      <c r="J37" s="49" t="s">
        <v>112</v>
      </c>
      <c r="K37" s="183" t="s">
        <v>22</v>
      </c>
    </row>
    <row r="38" spans="1:11" s="1" customFormat="1" x14ac:dyDescent="0.2">
      <c r="A38" s="3" t="s">
        <v>103</v>
      </c>
      <c r="B38" s="4" t="str">
        <f>'Variante Vorgaben'!B142</f>
        <v>Anbaugebläsepritze 1000 l</v>
      </c>
      <c r="C38" s="1243">
        <v>25</v>
      </c>
      <c r="D38" s="47">
        <f>'Variante Vorgaben'!C142</f>
        <v>1</v>
      </c>
      <c r="E38" s="213">
        <f>'Variante Vorgaben'!$D$142*(1+Eingabeseite!$C$25)</f>
        <v>37.00164586804997</v>
      </c>
      <c r="F38" s="43">
        <f>C38*E38</f>
        <v>925.0411467012492</v>
      </c>
      <c r="G38" s="271">
        <f>F38/$F$66</f>
        <v>2.3638754123901731E-2</v>
      </c>
      <c r="J38" s="522">
        <f>'Variante Vorgaben'!G142</f>
        <v>11.67</v>
      </c>
      <c r="K38" s="181">
        <f>C38*D38*J38</f>
        <v>291.75</v>
      </c>
    </row>
    <row r="39" spans="1:11" s="1" customFormat="1" x14ac:dyDescent="0.2">
      <c r="A39" s="3"/>
      <c r="B39" s="4" t="str">
        <f>'Variante Vorgaben'!B143</f>
        <v>Herbizidspritze beideseitig + Herbizidfass</v>
      </c>
      <c r="C39" s="1032">
        <v>3</v>
      </c>
      <c r="D39" s="47">
        <f>'Variante Vorgaben'!C143</f>
        <v>1</v>
      </c>
      <c r="E39" s="213">
        <f>'Variante Vorgaben'!$D$143*(1+Eingabeseite!$C$25)</f>
        <v>42.001868282651316</v>
      </c>
      <c r="F39" s="43">
        <f t="shared" ref="F39:F40" si="1">C39*E39</f>
        <v>126.00560484795395</v>
      </c>
      <c r="G39" s="271">
        <f>F39/$F$66</f>
        <v>3.2199816428233712E-3</v>
      </c>
      <c r="J39" s="522">
        <f>'Variante Vorgaben'!G143</f>
        <v>6.07</v>
      </c>
      <c r="K39" s="181">
        <f>C39*D39*J39</f>
        <v>18.21</v>
      </c>
    </row>
    <row r="40" spans="1:11" s="1" customFormat="1" x14ac:dyDescent="0.2">
      <c r="A40" s="3"/>
      <c r="B40" s="4" t="str">
        <f>'Variante Vorgaben'!B144</f>
        <v>Düngerstreuer Einkasten 2.5 m</v>
      </c>
      <c r="C40" s="501">
        <f>C18</f>
        <v>4</v>
      </c>
      <c r="D40" s="47">
        <f>'Variante Vorgaben'!C144</f>
        <v>1</v>
      </c>
      <c r="E40" s="213">
        <f>'Variante Vorgaben'!$D$144*(1+Eingabeseite!$C$25)</f>
        <v>18.000800692564852</v>
      </c>
      <c r="F40" s="43">
        <f t="shared" si="1"/>
        <v>72.003202770259406</v>
      </c>
      <c r="G40" s="271">
        <f>F40/$F$66</f>
        <v>1.8399895101847837E-3</v>
      </c>
      <c r="J40" s="522">
        <f>'Variante Vorgaben'!G144</f>
        <v>7.03</v>
      </c>
      <c r="K40" s="181">
        <f>C40*D40*J40</f>
        <v>28.12</v>
      </c>
    </row>
    <row r="41" spans="1:11" s="1" customFormat="1" x14ac:dyDescent="0.2">
      <c r="A41" s="3"/>
      <c r="B41" s="4" t="str">
        <f>'Variante Vorgaben'!B145</f>
        <v>Erntewagen 4 Grosskisten</v>
      </c>
      <c r="C41" s="620">
        <f>'Variante Vorgaben'!C145</f>
        <v>960</v>
      </c>
      <c r="E41" s="621">
        <f>'Variante Vorgaben'!$D$145*(1+Eingabeseite!$C$25)</f>
        <v>9.2004092428664777</v>
      </c>
      <c r="F41" s="43">
        <f>D42*E41</f>
        <v>260.67826188121683</v>
      </c>
      <c r="G41" s="271">
        <f>F41/$F$66</f>
        <v>6.661443504465279E-3</v>
      </c>
      <c r="J41" s="522">
        <f>'Variante Vorgaben'!G145</f>
        <v>1.53</v>
      </c>
      <c r="K41" s="181">
        <f>D42*J41</f>
        <v>43.349999999999994</v>
      </c>
    </row>
    <row r="42" spans="1:11" s="1" customFormat="1" x14ac:dyDescent="0.2">
      <c r="A42" s="3"/>
      <c r="B42" s="324" t="s">
        <v>250</v>
      </c>
      <c r="C42" s="622">
        <f>'Variante Vorgaben'!E145</f>
        <v>4</v>
      </c>
      <c r="D42" s="623">
        <f>((D8+D9)+('Variante Vorgaben'!D95*D11))/C41</f>
        <v>28.333333333333329</v>
      </c>
      <c r="E42" s="624">
        <f>C41/C59/C42*(1+Eingabeseite!$C$25)</f>
        <v>1.9200854072069173</v>
      </c>
      <c r="F42" s="43"/>
      <c r="G42" s="271"/>
      <c r="J42" s="46"/>
      <c r="K42" s="181"/>
    </row>
    <row r="43" spans="1:11" s="1" customFormat="1" x14ac:dyDescent="0.2">
      <c r="A43" s="3"/>
      <c r="B43" s="4" t="str">
        <f>'Variante Vorgaben'!B146</f>
        <v>Sichelmulchgerät mit beids. Schwenkarm</v>
      </c>
      <c r="C43" s="46">
        <f>'Variante Vorgaben'!E146</f>
        <v>7</v>
      </c>
      <c r="D43" s="51">
        <f>'Variante Vorgaben'!C146</f>
        <v>1</v>
      </c>
      <c r="E43" s="62">
        <f>'Variante Vorgaben'!$D$146*(1+Eingabeseite!$C$25)</f>
        <v>42.001868282651316</v>
      </c>
      <c r="F43" s="43">
        <f>C43*D43*E43</f>
        <v>294.01307797855918</v>
      </c>
      <c r="G43" s="271">
        <f>F43/$F$66</f>
        <v>7.5132904999211979E-3</v>
      </c>
      <c r="J43" s="522">
        <f>'Variante Vorgaben'!G146</f>
        <v>14.5</v>
      </c>
      <c r="K43" s="181">
        <f>C43*D43*J43</f>
        <v>101.5</v>
      </c>
    </row>
    <row r="44" spans="1:11" s="1" customFormat="1" x14ac:dyDescent="0.2">
      <c r="A44" s="3"/>
      <c r="B44" s="4" t="str">
        <f>'Variante Vorgaben'!B147</f>
        <v>Schnittholzhacker</v>
      </c>
      <c r="C44" s="58">
        <f>'Variante Vorgaben'!E147</f>
        <v>1</v>
      </c>
      <c r="D44" s="563">
        <f>'Variante Vorgaben'!C147</f>
        <v>2</v>
      </c>
      <c r="E44" s="62">
        <f>'Variante Vorgaben'!$D$147*(1+Eingabeseite!$C$25)</f>
        <v>68.303038183454404</v>
      </c>
      <c r="F44" s="118">
        <f>E44*D44*C44</f>
        <v>136.60607636690881</v>
      </c>
      <c r="G44" s="271">
        <f>F44/$F$66</f>
        <v>3.4908689873783534E-3</v>
      </c>
      <c r="J44" s="522">
        <f>'Variante Vorgaben'!G147</f>
        <v>29.05</v>
      </c>
      <c r="K44" s="181">
        <f>C44*D44*J44</f>
        <v>58.1</v>
      </c>
    </row>
    <row r="45" spans="1:11" s="1" customFormat="1" x14ac:dyDescent="0.2">
      <c r="A45" s="3"/>
      <c r="B45" s="4" t="s">
        <v>113</v>
      </c>
      <c r="C45" s="46"/>
      <c r="D45" s="625">
        <f>(C38*D38)+(C39*D39)+(C40*D40)+(D42*E42*'Variante Vorgaben'!H138)+(C43*D43)+(C44*D44)</f>
        <v>54.600604967715661</v>
      </c>
      <c r="E45" s="62"/>
      <c r="F45" s="120">
        <f>SUM(F38:F44)</f>
        <v>1814.3473705461474</v>
      </c>
      <c r="G45" s="271">
        <f>F45/$F$66</f>
        <v>4.6364328268674718E-2</v>
      </c>
      <c r="J45" s="522"/>
      <c r="K45" s="181"/>
    </row>
    <row r="46" spans="1:11" s="1" customFormat="1" x14ac:dyDescent="0.2">
      <c r="A46" s="626"/>
      <c r="B46" s="106" t="str">
        <f>'Variante Vorgaben'!B138</f>
        <v>Obstbautraktor 4-Rad</v>
      </c>
      <c r="C46" s="46"/>
      <c r="D46" s="627">
        <f>D45</f>
        <v>54.600604967715661</v>
      </c>
      <c r="E46" s="62">
        <f>'Variante Vorgaben'!$D$153*(1+Eingabeseite!$C$25)</f>
        <v>41.001823799731049</v>
      </c>
      <c r="F46" s="120">
        <f>D46*E46</f>
        <v>2238.7243842449975</v>
      </c>
      <c r="G46" s="271">
        <f>F46/$F$66</f>
        <v>5.7208974388943616E-2</v>
      </c>
      <c r="H46" s="656"/>
      <c r="J46" s="657">
        <f>'Variante Vorgaben'!G153</f>
        <v>0</v>
      </c>
      <c r="K46" s="658">
        <f>D46*J46</f>
        <v>0</v>
      </c>
    </row>
    <row r="47" spans="1:11" s="1" customFormat="1" x14ac:dyDescent="0.2">
      <c r="A47" s="626"/>
      <c r="B47" s="4" t="str">
        <f>'Variante Vorgaben'!$B$148</f>
        <v>Hebebühne schwer, selbstfahrend, elektrisch</v>
      </c>
      <c r="C47" s="58"/>
      <c r="D47" s="51">
        <f>'Variante Vorgaben'!$C$148*D42+(D56/2)+(D57/2)</f>
        <v>18.166666666666664</v>
      </c>
      <c r="E47" s="59">
        <f>'Variante Vorgaben'!$D$148</f>
        <v>17.5</v>
      </c>
      <c r="F47" s="120">
        <f>D47*E47</f>
        <v>317.91666666666663</v>
      </c>
      <c r="G47" s="271"/>
      <c r="H47" s="656"/>
      <c r="J47" s="657"/>
      <c r="K47" s="192"/>
    </row>
    <row r="48" spans="1:11" s="1" customFormat="1" ht="13.5" thickBot="1" x14ac:dyDescent="0.25">
      <c r="A48" s="223"/>
      <c r="B48" s="4" t="str">
        <f>'Variante Vorgaben'!B149</f>
        <v>Diverse Kleingeräte</v>
      </c>
      <c r="C48" s="46"/>
      <c r="D48" s="46"/>
      <c r="E48" s="62"/>
      <c r="F48" s="228">
        <f>'Variante Vorgaben'!D149</f>
        <v>500</v>
      </c>
      <c r="G48" s="271">
        <f>F48/$F$66</f>
        <v>1.2777136567491571E-2</v>
      </c>
      <c r="J48" s="46"/>
      <c r="K48" s="659">
        <f>SUM(K38:K46)</f>
        <v>541.03</v>
      </c>
    </row>
    <row r="49" spans="1:11" s="1" customFormat="1" ht="13.5" thickTop="1" x14ac:dyDescent="0.2">
      <c r="A49" s="628"/>
      <c r="B49" s="4"/>
      <c r="C49" s="46"/>
      <c r="D49" s="46"/>
      <c r="E49" s="62"/>
      <c r="F49" s="77">
        <f>F48+F46+F47+F45</f>
        <v>4870.9884214578115</v>
      </c>
      <c r="G49" s="271">
        <f>F49/$F$66</f>
        <v>0.12447456855927329</v>
      </c>
      <c r="J49" s="46"/>
      <c r="K49" s="181"/>
    </row>
    <row r="50" spans="1:11" x14ac:dyDescent="0.2">
      <c r="B50" s="19"/>
      <c r="C50" s="58"/>
      <c r="D50" s="123" t="s">
        <v>27</v>
      </c>
      <c r="E50" s="128" t="s">
        <v>21</v>
      </c>
      <c r="F50" s="124" t="s">
        <v>22</v>
      </c>
      <c r="G50" s="42"/>
    </row>
    <row r="51" spans="1:11" s="1" customFormat="1" x14ac:dyDescent="0.2">
      <c r="A51" s="3" t="s">
        <v>64</v>
      </c>
      <c r="B51" s="4" t="s">
        <v>29</v>
      </c>
      <c r="C51" s="58"/>
      <c r="D51" s="503">
        <f>C40*D40</f>
        <v>4</v>
      </c>
      <c r="E51" s="62">
        <f>'Variante Vorgaben'!$C$37</f>
        <v>32.700000000000003</v>
      </c>
      <c r="F51" s="43">
        <f t="shared" ref="F51:F57" si="2">D51*E51</f>
        <v>130.80000000000001</v>
      </c>
      <c r="G51" s="271">
        <f t="shared" ref="G51:G58" si="3">F51/$F$66</f>
        <v>3.3424989260557952E-3</v>
      </c>
      <c r="J51" s="46"/>
      <c r="K51" s="181"/>
    </row>
    <row r="52" spans="1:11" s="1" customFormat="1" x14ac:dyDescent="0.2">
      <c r="A52" s="3"/>
      <c r="B52" s="4" t="s">
        <v>164</v>
      </c>
      <c r="D52" s="143">
        <f>((C38*D38)+(C39*D39))+'Variante Vorgaben'!B101+'Variante Vorgaben'!C101</f>
        <v>48</v>
      </c>
      <c r="E52" s="62">
        <f>'Variante Vorgaben'!$C$37</f>
        <v>32.700000000000003</v>
      </c>
      <c r="F52" s="43">
        <f t="shared" si="2"/>
        <v>1569.6000000000001</v>
      </c>
      <c r="G52" s="271">
        <f t="shared" si="3"/>
        <v>4.010998711266954E-2</v>
      </c>
      <c r="J52" s="46"/>
      <c r="K52" s="181"/>
    </row>
    <row r="53" spans="1:11" s="1" customFormat="1" x14ac:dyDescent="0.2">
      <c r="A53" s="3"/>
      <c r="B53" s="4" t="str">
        <f>'Variante Vorgaben'!D99</f>
        <v>Baumerziehung (Sommer+Winter)</v>
      </c>
      <c r="C53" s="46"/>
      <c r="D53" s="181">
        <f>'Variante Vorgaben'!D101</f>
        <v>160</v>
      </c>
      <c r="E53" s="62">
        <f>'Variante Vorgaben'!$C$37</f>
        <v>32.700000000000003</v>
      </c>
      <c r="F53" s="43">
        <f t="shared" si="2"/>
        <v>5232</v>
      </c>
      <c r="G53" s="271">
        <f t="shared" si="3"/>
        <v>0.13369995704223178</v>
      </c>
      <c r="J53" s="46"/>
      <c r="K53" s="181"/>
    </row>
    <row r="54" spans="1:11" s="1" customFormat="1" x14ac:dyDescent="0.2">
      <c r="A54" s="3"/>
      <c r="B54" s="4" t="s">
        <v>100</v>
      </c>
      <c r="C54" s="46"/>
      <c r="D54" s="501">
        <f>(C43*D43)+(C44*D44)</f>
        <v>9</v>
      </c>
      <c r="E54" s="62">
        <f>'Variante Vorgaben'!$C$37</f>
        <v>32.700000000000003</v>
      </c>
      <c r="F54" s="43">
        <f t="shared" si="2"/>
        <v>294.3</v>
      </c>
      <c r="G54" s="271">
        <f t="shared" si="3"/>
        <v>7.5206225836255388E-3</v>
      </c>
      <c r="J54" s="46"/>
      <c r="K54" s="181"/>
    </row>
    <row r="55" spans="1:11" s="1" customFormat="1" x14ac:dyDescent="0.2">
      <c r="A55" s="3"/>
      <c r="B55" s="630" t="str">
        <f>'Variante Vorgaben'!E99</f>
        <v>Behangsregulierung (von Hand)</v>
      </c>
      <c r="C55" s="1" t="s">
        <v>235</v>
      </c>
      <c r="D55" s="143">
        <f>'Variante Vorgaben'!E101</f>
        <v>40</v>
      </c>
      <c r="E55" s="62">
        <f>'Variante Vorgaben'!$C$36</f>
        <v>23.18</v>
      </c>
      <c r="F55" s="43">
        <f t="shared" si="2"/>
        <v>927.2</v>
      </c>
      <c r="G55" s="271">
        <f t="shared" si="3"/>
        <v>2.3693922050756371E-2</v>
      </c>
      <c r="J55" s="46"/>
      <c r="K55" s="181"/>
    </row>
    <row r="56" spans="1:11" s="1" customFormat="1" x14ac:dyDescent="0.2">
      <c r="A56" s="3"/>
      <c r="B56" s="1022" t="s">
        <v>468</v>
      </c>
      <c r="C56" s="23"/>
      <c r="D56" s="1023">
        <v>15</v>
      </c>
      <c r="E56" s="62">
        <f>'Variante Vorgaben'!$C$36</f>
        <v>23.18</v>
      </c>
      <c r="F56" s="43">
        <f t="shared" si="2"/>
        <v>347.7</v>
      </c>
      <c r="G56" s="271">
        <f t="shared" si="3"/>
        <v>8.8852207690336381E-3</v>
      </c>
      <c r="J56" s="46"/>
      <c r="K56" s="181"/>
    </row>
    <row r="57" spans="1:11" s="1" customFormat="1" x14ac:dyDescent="0.2">
      <c r="A57" s="3"/>
      <c r="B57" s="1022" t="s">
        <v>469</v>
      </c>
      <c r="C57" s="23"/>
      <c r="D57" s="1023">
        <v>10</v>
      </c>
      <c r="E57" s="62">
        <f>'Variante Vorgaben'!$C$36</f>
        <v>23.18</v>
      </c>
      <c r="F57" s="43">
        <f t="shared" si="2"/>
        <v>231.8</v>
      </c>
      <c r="G57" s="271">
        <f t="shared" si="3"/>
        <v>5.9234805126890926E-3</v>
      </c>
      <c r="J57" s="46"/>
      <c r="K57" s="181"/>
    </row>
    <row r="58" spans="1:11" s="1" customFormat="1" x14ac:dyDescent="0.2">
      <c r="A58" s="1022"/>
      <c r="B58" s="1022" t="s">
        <v>599</v>
      </c>
      <c r="C58" s="23"/>
      <c r="D58" s="503">
        <f>'Variante Erstellung'!$D$157</f>
        <v>20</v>
      </c>
      <c r="E58" s="62">
        <f>'Variante Vorgaben'!$C$36</f>
        <v>23.18</v>
      </c>
      <c r="F58" s="60">
        <f>D58*E58</f>
        <v>463.6</v>
      </c>
      <c r="G58" s="271">
        <f t="shared" si="3"/>
        <v>1.1846961025378185E-2</v>
      </c>
      <c r="J58" s="46"/>
      <c r="K58" s="181"/>
    </row>
    <row r="59" spans="1:11" s="1" customFormat="1" x14ac:dyDescent="0.2">
      <c r="A59" s="3"/>
      <c r="B59" s="3" t="str">
        <f>'Variante Vorgaben'!G73</f>
        <v>Ernte baumfallend</v>
      </c>
      <c r="C59" s="631">
        <f>'Variante Vorgaben'!G95</f>
        <v>125</v>
      </c>
      <c r="D59" s="143">
        <f>(D8+D9+('Variante Vorgaben'!D95*'Variante Vorgaben'!E69))/C59</f>
        <v>217.59999999999997</v>
      </c>
      <c r="E59" s="62">
        <f>'Variante Vorgaben'!$C$36</f>
        <v>23.18</v>
      </c>
      <c r="F59" s="60">
        <f>D59*E59</f>
        <v>5043.9679999999989</v>
      </c>
      <c r="G59" s="271">
        <f t="shared" ref="G59:G65" si="4">F60/$F$66</f>
        <v>4.2317876311532082E-2</v>
      </c>
      <c r="J59" s="46"/>
      <c r="K59" s="181"/>
    </row>
    <row r="60" spans="1:11" s="1" customFormat="1" x14ac:dyDescent="0.2">
      <c r="A60" s="3"/>
      <c r="B60" s="4" t="s">
        <v>99</v>
      </c>
      <c r="C60" s="46"/>
      <c r="D60" s="117">
        <f>'Variante Vorgaben'!F101+'Variante Vorgaben'!G101</f>
        <v>40</v>
      </c>
      <c r="E60" s="62">
        <f>'Variante Vorgaben'!$C$33</f>
        <v>41.4</v>
      </c>
      <c r="F60" s="118">
        <f>D60*E60</f>
        <v>1656</v>
      </c>
      <c r="G60" s="271">
        <f t="shared" si="4"/>
        <v>0.40623546229008667</v>
      </c>
      <c r="J60" s="46"/>
      <c r="K60" s="181"/>
    </row>
    <row r="61" spans="1:11" s="1" customFormat="1" x14ac:dyDescent="0.2">
      <c r="A61" s="156" t="s">
        <v>88</v>
      </c>
      <c r="B61" s="632">
        <f>('Variante Vorgaben'!F35*D55)+('Variante Vorgaben'!F35*D59)</f>
        <v>218.95999999999998</v>
      </c>
      <c r="C61" s="156" t="s">
        <v>86</v>
      </c>
      <c r="D61" s="660">
        <f>SUM(D51:D60)</f>
        <v>563.59999999999991</v>
      </c>
      <c r="E61" s="62"/>
      <c r="F61" s="77">
        <f>SUM(F51:F60)</f>
        <v>15896.967999999999</v>
      </c>
      <c r="G61" s="271">
        <f t="shared" si="4"/>
        <v>1.6865820269088873E-2</v>
      </c>
      <c r="J61" s="46"/>
      <c r="K61" s="181"/>
    </row>
    <row r="62" spans="1:11" s="1" customFormat="1" x14ac:dyDescent="0.2">
      <c r="A62" s="3" t="s">
        <v>67</v>
      </c>
      <c r="B62" s="4" t="s">
        <v>65</v>
      </c>
      <c r="C62" s="46"/>
      <c r="D62" s="46"/>
      <c r="E62" s="62"/>
      <c r="F62" s="43">
        <f>'Variante Vorgaben'!C43</f>
        <v>660</v>
      </c>
      <c r="G62" s="271">
        <f t="shared" si="4"/>
        <v>3.0849786816904291E-2</v>
      </c>
      <c r="J62" s="46"/>
      <c r="K62" s="181"/>
    </row>
    <row r="63" spans="1:11" s="1" customFormat="1" x14ac:dyDescent="0.2">
      <c r="B63" s="1" t="s">
        <v>222</v>
      </c>
      <c r="C63" s="226">
        <f>'Variante Vorgaben'!C42</f>
        <v>0.6</v>
      </c>
      <c r="D63" s="227">
        <f>'Variante Vorgaben'!C41</f>
        <v>1.4999999999999999E-2</v>
      </c>
      <c r="E63" s="229">
        <f>C33</f>
        <v>134136.23908068184</v>
      </c>
      <c r="F63" s="118">
        <f>$D$63*E63*$C$63</f>
        <v>1207.2261517261365</v>
      </c>
      <c r="G63" s="271">
        <f t="shared" si="4"/>
        <v>4.7715607085993164E-2</v>
      </c>
      <c r="J63" s="46"/>
      <c r="K63" s="181"/>
    </row>
    <row r="64" spans="1:11" x14ac:dyDescent="0.2">
      <c r="A64" s="1"/>
      <c r="B64" s="1"/>
      <c r="C64" s="1"/>
      <c r="D64" s="1"/>
      <c r="E64" s="1"/>
      <c r="F64" s="200">
        <f>SUM(F62:F63)</f>
        <v>1867.2261517261365</v>
      </c>
      <c r="G64" s="42">
        <f t="shared" si="4"/>
        <v>0.58225877890560063</v>
      </c>
    </row>
    <row r="65" spans="1:11" s="74" customFormat="1" ht="24.75" customHeight="1" thickBot="1" x14ac:dyDescent="0.35">
      <c r="A65" s="614" t="s">
        <v>35</v>
      </c>
      <c r="B65" s="615"/>
      <c r="C65" s="442"/>
      <c r="D65" s="634"/>
      <c r="E65" s="559"/>
      <c r="F65" s="618">
        <f>F64+F61+F49+F36</f>
        <v>22785.182573183949</v>
      </c>
      <c r="G65" s="42">
        <f t="shared" si="4"/>
        <v>1</v>
      </c>
      <c r="H65" s="95"/>
      <c r="I65" s="1232"/>
      <c r="J65" s="179"/>
      <c r="K65" s="184"/>
    </row>
    <row r="66" spans="1:11" s="74" customFormat="1" ht="17.25" customHeight="1" thickBot="1" x14ac:dyDescent="0.35">
      <c r="A66" s="581" t="s">
        <v>261</v>
      </c>
      <c r="B66" s="570"/>
      <c r="C66" s="635"/>
      <c r="D66" s="571"/>
      <c r="E66" s="572"/>
      <c r="F66" s="1046">
        <f>F65+F35</f>
        <v>39132.39851189607</v>
      </c>
      <c r="G66" s="73"/>
      <c r="H66" s="95"/>
      <c r="I66" s="1232"/>
      <c r="J66" s="179"/>
      <c r="K66" s="184"/>
    </row>
    <row r="67" spans="1:11" s="74" customFormat="1" ht="18.75" customHeight="1" x14ac:dyDescent="0.3">
      <c r="A67" s="2" t="s">
        <v>389</v>
      </c>
      <c r="B67" s="661"/>
      <c r="C67" s="662"/>
      <c r="D67" s="663"/>
      <c r="E67" s="664"/>
      <c r="F67" s="665">
        <f>F13-F66</f>
        <v>-10064.398511896074</v>
      </c>
      <c r="G67" s="73"/>
      <c r="H67" s="95"/>
      <c r="I67" s="1232"/>
      <c r="J67" s="179"/>
      <c r="K67" s="184"/>
    </row>
    <row r="68" spans="1:11" s="74" customFormat="1" ht="18.75" customHeight="1" x14ac:dyDescent="0.3">
      <c r="A68" s="666" t="s">
        <v>390</v>
      </c>
      <c r="B68" s="661"/>
      <c r="C68" s="662"/>
      <c r="D68" s="663"/>
      <c r="E68" s="664"/>
      <c r="F68" s="667">
        <f>F13/F66</f>
        <v>0.74281161148768982</v>
      </c>
      <c r="G68" s="73"/>
      <c r="H68" s="95"/>
      <c r="I68" s="1232"/>
      <c r="J68" s="179"/>
      <c r="K68" s="184"/>
    </row>
    <row r="69" spans="1:11" s="1" customFormat="1" ht="16.5" customHeight="1" x14ac:dyDescent="0.3">
      <c r="A69" s="666" t="s">
        <v>391</v>
      </c>
      <c r="B69" s="661"/>
      <c r="C69" s="662"/>
      <c r="D69" s="663"/>
      <c r="E69" s="664"/>
      <c r="F69" s="668">
        <f>F67+F33</f>
        <v>-1121.9825731839501</v>
      </c>
      <c r="G69" s="42"/>
      <c r="H69" s="96"/>
      <c r="J69" s="46"/>
      <c r="K69" s="181"/>
    </row>
    <row r="70" spans="1:11" x14ac:dyDescent="0.2">
      <c r="A70" s="125" t="s">
        <v>68</v>
      </c>
      <c r="B70" s="99"/>
      <c r="C70" s="501"/>
      <c r="D70" s="503"/>
      <c r="E70" s="213"/>
      <c r="F70" s="121">
        <f>F66-F61</f>
        <v>23235.430511896069</v>
      </c>
      <c r="G70" s="75"/>
      <c r="H70" s="94"/>
    </row>
    <row r="71" spans="1:11" ht="13.5" thickBot="1" x14ac:dyDescent="0.25">
      <c r="A71" s="106" t="s">
        <v>124</v>
      </c>
      <c r="B71" s="106"/>
      <c r="C71" s="106"/>
      <c r="D71" s="106"/>
      <c r="E71" s="106"/>
      <c r="F71" s="200">
        <f>F13-F70</f>
        <v>5832.5694881039271</v>
      </c>
      <c r="G71" s="75"/>
    </row>
    <row r="72" spans="1:11" s="20" customFormat="1" ht="21" thickBot="1" x14ac:dyDescent="0.35">
      <c r="A72" s="669" t="s">
        <v>263</v>
      </c>
      <c r="B72" s="569"/>
      <c r="C72" s="569"/>
      <c r="D72" s="569"/>
      <c r="E72" s="569"/>
      <c r="F72" s="670">
        <f>F71/D61</f>
        <v>10.348774819204982</v>
      </c>
      <c r="G72" s="177"/>
      <c r="J72" s="180"/>
      <c r="K72" s="185"/>
    </row>
    <row r="73" spans="1:11" s="327" customFormat="1" ht="25.5" customHeight="1" x14ac:dyDescent="0.25">
      <c r="A73" s="569" t="s">
        <v>87</v>
      </c>
      <c r="B73" s="569"/>
      <c r="C73" s="569"/>
      <c r="D73" s="569"/>
      <c r="E73" s="569"/>
      <c r="F73" s="671">
        <f>(F71-(B61*'Variante Vorgaben'!C35))/(D61-B61)</f>
        <v>3.2640711702179899</v>
      </c>
      <c r="G73" s="672" t="s">
        <v>173</v>
      </c>
      <c r="J73" s="328"/>
      <c r="K73" s="329"/>
    </row>
    <row r="74" spans="1:11" ht="15.75" customHeight="1" x14ac:dyDescent="0.2">
      <c r="A74" s="673" t="s">
        <v>253</v>
      </c>
      <c r="B74" s="674" t="s">
        <v>254</v>
      </c>
      <c r="C74" s="675">
        <f>F11-F35</f>
        <v>11620.784061287874</v>
      </c>
      <c r="D74" s="676" t="s">
        <v>81</v>
      </c>
      <c r="E74" s="677"/>
      <c r="F74" s="678">
        <f>F13-F35</f>
        <v>12720.784061287874</v>
      </c>
      <c r="G74" s="835">
        <f>F13</f>
        <v>29067.999999999996</v>
      </c>
    </row>
    <row r="75" spans="1:11" x14ac:dyDescent="0.2">
      <c r="A75" s="679" t="s">
        <v>125</v>
      </c>
      <c r="B75" s="1283" t="s">
        <v>126</v>
      </c>
      <c r="C75" s="1283"/>
      <c r="D75" s="1283"/>
      <c r="E75" s="1283"/>
      <c r="F75" s="680">
        <f>K48+F61+F32+F18+F25</f>
        <v>22234.998</v>
      </c>
      <c r="G75" s="836"/>
    </row>
    <row r="76" spans="1:11" x14ac:dyDescent="0.2">
      <c r="A76" s="106" t="s">
        <v>145</v>
      </c>
      <c r="B76" s="99" t="s">
        <v>146</v>
      </c>
      <c r="C76" s="99"/>
      <c r="D76" s="99"/>
      <c r="E76" s="99"/>
      <c r="F76" s="682">
        <f>F13/D61</f>
        <v>51.575585521646559</v>
      </c>
      <c r="G76" s="836"/>
    </row>
    <row r="77" spans="1:11" s="1" customFormat="1" x14ac:dyDescent="0.2">
      <c r="A77" s="106"/>
      <c r="B77" s="99" t="s">
        <v>202</v>
      </c>
      <c r="C77" s="99"/>
      <c r="D77" s="99"/>
      <c r="E77" s="99"/>
      <c r="F77" s="683">
        <f>D8/D61</f>
        <v>39.744499645138397</v>
      </c>
      <c r="G77" s="836"/>
      <c r="J77" s="46"/>
      <c r="K77" s="8">
        <f>F66-F64</f>
        <v>37265.172360169934</v>
      </c>
    </row>
    <row r="78" spans="1:11" x14ac:dyDescent="0.2">
      <c r="A78" s="106" t="s">
        <v>147</v>
      </c>
      <c r="B78" s="99" t="s">
        <v>252</v>
      </c>
      <c r="C78" s="99"/>
      <c r="D78" s="99"/>
      <c r="E78" s="99"/>
      <c r="F78" s="684">
        <f>(F67+F63)/E63</f>
        <v>-6.6031166677056011E-2</v>
      </c>
      <c r="G78" s="75"/>
      <c r="K78" s="18">
        <f>F13-K77</f>
        <v>-8197.1723601699377</v>
      </c>
    </row>
    <row r="79" spans="1:11" ht="18" x14ac:dyDescent="0.25">
      <c r="A79" s="1233" t="s">
        <v>262</v>
      </c>
      <c r="B79" s="443" t="s">
        <v>82</v>
      </c>
      <c r="C79" s="615"/>
      <c r="D79" s="615"/>
      <c r="E79" s="615"/>
      <c r="F79" s="1234">
        <f>F66/D11</f>
        <v>1.2228874534967522</v>
      </c>
      <c r="G79" s="75"/>
      <c r="H79" s="48"/>
    </row>
    <row r="80" spans="1:11" ht="15.75" x14ac:dyDescent="0.25">
      <c r="D80" s="39" t="s">
        <v>344</v>
      </c>
      <c r="E80" s="39" t="s">
        <v>69</v>
      </c>
      <c r="F80" s="127"/>
      <c r="G80" s="75"/>
    </row>
    <row r="81" spans="1:11" s="1" customFormat="1" ht="15.75" x14ac:dyDescent="0.25">
      <c r="A81" s="92" t="s">
        <v>123</v>
      </c>
      <c r="B81" s="685" t="s">
        <v>343</v>
      </c>
      <c r="C81" s="686" t="str">
        <f>B8</f>
        <v>Klasse I</v>
      </c>
      <c r="D81" s="90">
        <f>F8/F11</f>
        <v>0.97711670480549195</v>
      </c>
      <c r="E81" s="79">
        <f>D81*F66</f>
        <v>38236.920285079228</v>
      </c>
      <c r="F81" s="689">
        <f>E81/D8</f>
        <v>1.7070053698696086</v>
      </c>
      <c r="G81" s="135"/>
      <c r="J81" s="46"/>
      <c r="K81" s="181"/>
    </row>
    <row r="82" spans="1:11" s="17" customFormat="1" ht="15.75" x14ac:dyDescent="0.25">
      <c r="A82" s="208"/>
      <c r="B82" s="687"/>
      <c r="C82" s="688" t="str">
        <f>B9</f>
        <v>Klasse II</v>
      </c>
      <c r="D82" s="209">
        <f>F9/F11</f>
        <v>2.2883295194508019E-2</v>
      </c>
      <c r="E82" s="210">
        <f>D82*F66</f>
        <v>895.47822681684409</v>
      </c>
      <c r="F82" s="690">
        <f>E82/D9</f>
        <v>0.55967389176052751</v>
      </c>
      <c r="J82" s="13"/>
      <c r="K82" s="153"/>
    </row>
    <row r="83" spans="1:11" x14ac:dyDescent="0.2">
      <c r="A83" s="17"/>
      <c r="B83" s="17"/>
      <c r="C83" s="17"/>
      <c r="D83" s="17"/>
      <c r="E83" s="17"/>
      <c r="F83" s="17"/>
    </row>
    <row r="84" spans="1:11" x14ac:dyDescent="0.2">
      <c r="F84" s="48"/>
      <c r="G84" s="1"/>
    </row>
    <row r="85" spans="1:11" ht="18" x14ac:dyDescent="0.25">
      <c r="A85" s="581" t="s">
        <v>219</v>
      </c>
      <c r="B85" s="437"/>
      <c r="C85" s="437"/>
      <c r="D85" s="437"/>
      <c r="E85" s="437"/>
      <c r="F85" s="691"/>
    </row>
    <row r="86" spans="1:11" s="301" customFormat="1" ht="21.75" customHeight="1" x14ac:dyDescent="0.2">
      <c r="A86"/>
      <c r="B86"/>
      <c r="C86"/>
      <c r="D86"/>
      <c r="E86"/>
      <c r="J86" s="303"/>
      <c r="K86" s="304"/>
    </row>
    <row r="87" spans="1:11" s="1" customFormat="1" x14ac:dyDescent="0.2">
      <c r="A87" s="300" t="s">
        <v>213</v>
      </c>
      <c r="B87" s="303" t="s">
        <v>243</v>
      </c>
      <c r="C87" s="302" t="s">
        <v>217</v>
      </c>
      <c r="D87" s="301"/>
      <c r="E87" s="301"/>
      <c r="J87" s="46"/>
      <c r="K87" s="181"/>
    </row>
    <row r="88" spans="1:11" s="1" customFormat="1" x14ac:dyDescent="0.2">
      <c r="A88" s="1" t="s">
        <v>215</v>
      </c>
      <c r="B88" s="43">
        <f>F61</f>
        <v>15896.967999999999</v>
      </c>
      <c r="C88" s="307">
        <f>B88/$B$91</f>
        <v>0.40623546229008667</v>
      </c>
      <c r="J88" s="46"/>
      <c r="K88" s="181"/>
    </row>
    <row r="89" spans="1:11" s="1" customFormat="1" x14ac:dyDescent="0.2">
      <c r="A89" s="1" t="s">
        <v>326</v>
      </c>
      <c r="B89" s="43">
        <f>F64</f>
        <v>1867.2261517261365</v>
      </c>
      <c r="C89" s="307">
        <f>B89/$B$91</f>
        <v>4.7715607085993164E-2</v>
      </c>
      <c r="J89" s="46"/>
      <c r="K89" s="181"/>
    </row>
    <row r="90" spans="1:11" s="1" customFormat="1" x14ac:dyDescent="0.2">
      <c r="A90" s="208" t="s">
        <v>214</v>
      </c>
      <c r="B90" s="118">
        <f>F66-B88-B89</f>
        <v>21368.204360169933</v>
      </c>
      <c r="C90" s="694">
        <f>B90/$B$91</f>
        <v>0.54604893062392013</v>
      </c>
      <c r="J90" s="46"/>
      <c r="K90" s="181"/>
    </row>
    <row r="91" spans="1:11" s="1" customFormat="1" x14ac:dyDescent="0.2">
      <c r="A91" s="1" t="str">
        <f>A66</f>
        <v>Produktionskosten pro ha</v>
      </c>
      <c r="B91" s="43">
        <f>F66</f>
        <v>39132.39851189607</v>
      </c>
      <c r="C91" s="307">
        <f>B91/$B$91</f>
        <v>1</v>
      </c>
      <c r="D91" s="46"/>
      <c r="F91" s="8"/>
      <c r="J91" s="46"/>
      <c r="K91" s="181"/>
    </row>
    <row r="92" spans="1:11" s="301" customFormat="1" ht="30.75" customHeight="1" x14ac:dyDescent="0.2">
      <c r="A92" s="1"/>
      <c r="B92" s="1"/>
      <c r="C92" s="1"/>
      <c r="D92" s="1"/>
      <c r="E92" s="1"/>
      <c r="J92" s="303"/>
      <c r="K92" s="304"/>
    </row>
    <row r="93" spans="1:11" s="1" customFormat="1" x14ac:dyDescent="0.2">
      <c r="A93" s="308" t="s">
        <v>320</v>
      </c>
      <c r="B93" s="303" t="s">
        <v>243</v>
      </c>
      <c r="C93" s="305" t="s">
        <v>356</v>
      </c>
      <c r="D93" s="306"/>
      <c r="E93" s="301"/>
      <c r="J93" s="46"/>
      <c r="K93" s="181"/>
    </row>
    <row r="94" spans="1:11" s="1" customFormat="1" x14ac:dyDescent="0.2">
      <c r="A94" s="99" t="str">
        <f>B62</f>
        <v>für Boden</v>
      </c>
      <c r="B94" s="43">
        <f>F62</f>
        <v>660</v>
      </c>
      <c r="C94" s="695">
        <f>B94/$B$96</f>
        <v>0.35346548643284065</v>
      </c>
      <c r="J94" s="46"/>
      <c r="K94" s="181"/>
    </row>
    <row r="95" spans="1:11" s="1" customFormat="1" x14ac:dyDescent="0.2">
      <c r="A95" s="687" t="str">
        <f>B63</f>
        <v xml:space="preserve">für Investition Obstanlage </v>
      </c>
      <c r="B95" s="118">
        <f>F63</f>
        <v>1207.2261517261365</v>
      </c>
      <c r="C95" s="696">
        <f>B95/$B$96</f>
        <v>0.6465345135671593</v>
      </c>
      <c r="J95" s="46"/>
      <c r="K95" s="181"/>
    </row>
    <row r="96" spans="1:11" s="1" customFormat="1" ht="13.5" customHeight="1" x14ac:dyDescent="0.2">
      <c r="A96" s="697" t="s">
        <v>216</v>
      </c>
      <c r="B96" s="43">
        <f>SUM(B94:B95)</f>
        <v>1867.2261517261365</v>
      </c>
      <c r="C96" s="695">
        <f>B96/$B$96</f>
        <v>1</v>
      </c>
      <c r="F96" s="8"/>
      <c r="J96" s="46"/>
      <c r="K96" s="181"/>
    </row>
    <row r="97" spans="1:11" s="301" customFormat="1" ht="30.75" customHeight="1" x14ac:dyDescent="0.2">
      <c r="A97" s="1"/>
      <c r="B97" s="1"/>
      <c r="C97" s="1"/>
      <c r="D97" s="1"/>
      <c r="E97" s="1"/>
      <c r="J97" s="303"/>
      <c r="K97" s="304"/>
    </row>
    <row r="98" spans="1:11" s="1" customFormat="1" ht="25.5" x14ac:dyDescent="0.2">
      <c r="A98" s="308" t="s">
        <v>225</v>
      </c>
      <c r="B98" s="303" t="s">
        <v>243</v>
      </c>
      <c r="C98" s="305" t="s">
        <v>356</v>
      </c>
      <c r="D98" s="306"/>
      <c r="E98" s="301"/>
      <c r="J98" s="46"/>
      <c r="K98" s="181"/>
    </row>
    <row r="99" spans="1:11" s="1" customFormat="1" x14ac:dyDescent="0.2">
      <c r="A99" s="99" t="str">
        <f>B51</f>
        <v>Düngung</v>
      </c>
      <c r="B99" s="43">
        <f>F51</f>
        <v>130.80000000000001</v>
      </c>
      <c r="C99" s="695">
        <f t="shared" ref="C99:C106" si="5">B99/$B$106</f>
        <v>1.2731785662140459E-2</v>
      </c>
      <c r="J99" s="46"/>
      <c r="K99" s="181"/>
    </row>
    <row r="100" spans="1:11" s="1" customFormat="1" x14ac:dyDescent="0.2">
      <c r="A100" s="99" t="str">
        <f>B52</f>
        <v>Pflanzenschutz inkl. Kontrolle und Mausen</v>
      </c>
      <c r="B100" s="43">
        <f>F52</f>
        <v>1569.6000000000001</v>
      </c>
      <c r="C100" s="695">
        <f t="shared" si="5"/>
        <v>0.15278142794568553</v>
      </c>
      <c r="J100" s="46"/>
      <c r="K100" s="181"/>
    </row>
    <row r="101" spans="1:11" s="1" customFormat="1" x14ac:dyDescent="0.2">
      <c r="A101" s="99" t="str">
        <f>B53</f>
        <v>Baumerziehung (Sommer+Winter)</v>
      </c>
      <c r="B101" s="43">
        <f>F53</f>
        <v>5232</v>
      </c>
      <c r="C101" s="695">
        <f t="shared" si="5"/>
        <v>0.50927142648561829</v>
      </c>
      <c r="J101" s="46"/>
      <c r="K101" s="181"/>
    </row>
    <row r="102" spans="1:11" s="1" customFormat="1" x14ac:dyDescent="0.2">
      <c r="A102" s="99" t="str">
        <f>B54</f>
        <v>Mulchen und Schnittholz hacken</v>
      </c>
      <c r="B102" s="43">
        <f>F54</f>
        <v>294.3</v>
      </c>
      <c r="C102" s="695">
        <f t="shared" si="5"/>
        <v>2.8646517739816031E-2</v>
      </c>
      <c r="J102" s="46"/>
      <c r="K102" s="181"/>
    </row>
    <row r="103" spans="1:11" s="1" customFormat="1" x14ac:dyDescent="0.2">
      <c r="A103" s="99" t="str">
        <f>B55</f>
        <v>Behangsregulierung (von Hand)</v>
      </c>
      <c r="B103" s="43">
        <f>F55</f>
        <v>927.2</v>
      </c>
      <c r="C103" s="695">
        <f t="shared" si="5"/>
        <v>9.0251618241105766E-2</v>
      </c>
      <c r="J103" s="46"/>
      <c r="K103" s="181"/>
    </row>
    <row r="104" spans="1:11" s="1" customFormat="1" x14ac:dyDescent="0.2">
      <c r="A104" s="4" t="s">
        <v>247</v>
      </c>
      <c r="B104" s="43">
        <f>F58</f>
        <v>463.6</v>
      </c>
      <c r="C104" s="695">
        <f t="shared" si="5"/>
        <v>4.5125809120552883E-2</v>
      </c>
      <c r="J104" s="46"/>
      <c r="K104" s="181"/>
    </row>
    <row r="105" spans="1:11" s="1" customFormat="1" x14ac:dyDescent="0.2">
      <c r="A105" s="687" t="str">
        <f>B60</f>
        <v>Verwaltung + übrige Arbeiten</v>
      </c>
      <c r="B105" s="118">
        <f>F60</f>
        <v>1656</v>
      </c>
      <c r="C105" s="696">
        <f t="shared" si="5"/>
        <v>0.16119141480508103</v>
      </c>
      <c r="J105" s="46"/>
      <c r="K105" s="181"/>
    </row>
    <row r="106" spans="1:11" x14ac:dyDescent="0.2">
      <c r="A106" s="697" t="str">
        <f>A88</f>
        <v>Arbeitskosten</v>
      </c>
      <c r="B106" s="43">
        <f>SUM(B99:B105)</f>
        <v>10273.5</v>
      </c>
      <c r="C106" s="695">
        <f t="shared" si="5"/>
        <v>1</v>
      </c>
      <c r="D106" s="1"/>
      <c r="E106" s="1"/>
    </row>
    <row r="109" spans="1:11" s="1" customFormat="1" x14ac:dyDescent="0.2">
      <c r="A109" s="300" t="s">
        <v>226</v>
      </c>
      <c r="B109" s="303" t="s">
        <v>243</v>
      </c>
      <c r="C109" s="305" t="s">
        <v>356</v>
      </c>
      <c r="D109"/>
      <c r="E109"/>
      <c r="J109" s="46"/>
      <c r="K109" s="181"/>
    </row>
    <row r="110" spans="1:11" s="1" customFormat="1" x14ac:dyDescent="0.2">
      <c r="A110" s="187" t="str">
        <f>A104</f>
        <v>Ernte baumfallend</v>
      </c>
      <c r="B110" s="43">
        <f>B104</f>
        <v>463.6</v>
      </c>
      <c r="C110" s="307">
        <f>B110/$B$114</f>
        <v>4.5125809120552883E-2</v>
      </c>
      <c r="J110" s="46"/>
      <c r="K110" s="181"/>
    </row>
    <row r="111" spans="1:11" s="1" customFormat="1" x14ac:dyDescent="0.2">
      <c r="A111" s="187" t="str">
        <f>A101</f>
        <v>Baumerziehung (Sommer+Winter)</v>
      </c>
      <c r="B111" s="43">
        <f>B101</f>
        <v>5232</v>
      </c>
      <c r="C111" s="307">
        <f>B111/$B$114</f>
        <v>0.50927142648561829</v>
      </c>
      <c r="J111" s="46"/>
      <c r="K111" s="181"/>
    </row>
    <row r="112" spans="1:11" s="1" customFormat="1" x14ac:dyDescent="0.2">
      <c r="A112" s="187" t="str">
        <f>A103</f>
        <v>Behangsregulierung (von Hand)</v>
      </c>
      <c r="B112" s="43">
        <f>B103</f>
        <v>927.2</v>
      </c>
      <c r="C112" s="307">
        <f>B112/$B$114</f>
        <v>9.0251618241105766E-2</v>
      </c>
      <c r="J112" s="46"/>
      <c r="K112" s="181"/>
    </row>
    <row r="113" spans="1:11" s="1" customFormat="1" x14ac:dyDescent="0.2">
      <c r="A113" s="208" t="s">
        <v>221</v>
      </c>
      <c r="B113" s="118">
        <f>B114-B110-B111-B112</f>
        <v>3650.7</v>
      </c>
      <c r="C113" s="694">
        <f>B113/$B$114</f>
        <v>0.35535114615272301</v>
      </c>
      <c r="J113" s="46"/>
      <c r="K113" s="181"/>
    </row>
    <row r="114" spans="1:11" x14ac:dyDescent="0.2">
      <c r="A114" s="698" t="str">
        <f>A106</f>
        <v>Arbeitskosten</v>
      </c>
      <c r="B114" s="43">
        <f>B106</f>
        <v>10273.5</v>
      </c>
      <c r="C114" s="307">
        <f>B114/$B$114</f>
        <v>1</v>
      </c>
      <c r="D114" s="1"/>
      <c r="E114" s="1"/>
      <c r="F114" s="48"/>
    </row>
    <row r="115" spans="1:11" x14ac:dyDescent="0.2">
      <c r="F115" s="48"/>
    </row>
    <row r="116" spans="1:11" s="301" customFormat="1" ht="18" customHeight="1" x14ac:dyDescent="0.2">
      <c r="A116"/>
      <c r="B116"/>
      <c r="C116"/>
      <c r="D116"/>
      <c r="E116"/>
      <c r="F116" s="246"/>
      <c r="J116" s="303"/>
      <c r="K116" s="304"/>
    </row>
    <row r="117" spans="1:11" s="1" customFormat="1" ht="15.75" customHeight="1" x14ac:dyDescent="0.2">
      <c r="A117" s="300" t="s">
        <v>224</v>
      </c>
      <c r="B117" s="303" t="s">
        <v>243</v>
      </c>
      <c r="C117" s="302" t="s">
        <v>346</v>
      </c>
      <c r="D117" s="306"/>
      <c r="E117" s="306"/>
      <c r="J117" s="46"/>
      <c r="K117" s="181"/>
    </row>
    <row r="118" spans="1:11" s="1" customFormat="1" x14ac:dyDescent="0.2">
      <c r="A118" s="700" t="str">
        <f>A33</f>
        <v xml:space="preserve">Abschreibung Obstanlage </v>
      </c>
      <c r="B118" s="701">
        <f>F33</f>
        <v>8942.4159387121235</v>
      </c>
      <c r="C118" s="699">
        <f>B118/$B$121</f>
        <v>0.41849168923995672</v>
      </c>
      <c r="J118" s="46"/>
      <c r="K118" s="181"/>
    </row>
    <row r="119" spans="1:11" s="1" customFormat="1" x14ac:dyDescent="0.2">
      <c r="A119" s="1" t="str">
        <f>A38</f>
        <v>Maschinen und Geräte</v>
      </c>
      <c r="B119" s="43">
        <f>F49</f>
        <v>4870.9884214578115</v>
      </c>
      <c r="C119" s="699">
        <f>B119/$B$121</f>
        <v>0.22795497175875354</v>
      </c>
      <c r="J119" s="46"/>
      <c r="K119" s="181"/>
    </row>
    <row r="120" spans="1:11" s="1" customFormat="1" x14ac:dyDescent="0.2">
      <c r="A120" s="208" t="s">
        <v>220</v>
      </c>
      <c r="B120" s="118">
        <f>B121-B118-B119</f>
        <v>7554.7999999999984</v>
      </c>
      <c r="C120" s="702">
        <f>B120/$B$121</f>
        <v>0.35355333900128977</v>
      </c>
      <c r="J120" s="46"/>
      <c r="K120" s="181"/>
    </row>
    <row r="121" spans="1:11" s="1" customFormat="1" x14ac:dyDescent="0.2">
      <c r="A121" s="1" t="str">
        <f>A90</f>
        <v>Sachkosten</v>
      </c>
      <c r="B121" s="43">
        <f>B90</f>
        <v>21368.204360169933</v>
      </c>
      <c r="C121" s="699">
        <f>B121/$B$121</f>
        <v>1</v>
      </c>
      <c r="J121" s="46"/>
      <c r="K121" s="181"/>
    </row>
    <row r="122" spans="1:11" x14ac:dyDescent="0.2">
      <c r="A122" s="1"/>
      <c r="B122" s="1"/>
      <c r="C122" s="1"/>
      <c r="D122" s="1"/>
      <c r="E122" s="1"/>
    </row>
    <row r="123" spans="1:11" s="301" customFormat="1" ht="33" customHeight="1" x14ac:dyDescent="0.2">
      <c r="A123"/>
      <c r="B123"/>
      <c r="C123"/>
      <c r="D123"/>
      <c r="E123"/>
      <c r="J123" s="303"/>
      <c r="K123" s="304"/>
    </row>
    <row r="124" spans="1:11" s="1" customFormat="1" ht="25.5" x14ac:dyDescent="0.2">
      <c r="A124" s="308" t="s">
        <v>218</v>
      </c>
      <c r="B124" s="303" t="s">
        <v>243</v>
      </c>
      <c r="C124" s="302" t="s">
        <v>217</v>
      </c>
      <c r="D124" s="301"/>
      <c r="E124" s="301"/>
      <c r="J124" s="46"/>
      <c r="K124" s="181"/>
    </row>
    <row r="125" spans="1:11" s="1" customFormat="1" x14ac:dyDescent="0.2">
      <c r="A125" s="1" t="str">
        <f>A35</f>
        <v>Total Direktkosten</v>
      </c>
      <c r="B125" s="43">
        <f>F35</f>
        <v>16347.215938712123</v>
      </c>
      <c r="C125" s="307">
        <f>G35</f>
        <v>0.41774122109439943</v>
      </c>
      <c r="J125" s="46"/>
      <c r="K125" s="181"/>
    </row>
    <row r="126" spans="1:11" s="1" customFormat="1" x14ac:dyDescent="0.2">
      <c r="A126" s="208" t="str">
        <f>A65</f>
        <v>Total Strukturkosten</v>
      </c>
      <c r="B126" s="118">
        <f>F65</f>
        <v>22785.182573183949</v>
      </c>
      <c r="C126" s="694">
        <f>G64</f>
        <v>0.58225877890560063</v>
      </c>
      <c r="J126" s="46"/>
      <c r="K126" s="181"/>
    </row>
    <row r="127" spans="1:11" s="1" customFormat="1" x14ac:dyDescent="0.2">
      <c r="A127" s="1" t="str">
        <f>A66</f>
        <v>Produktionskosten pro ha</v>
      </c>
      <c r="B127" s="43">
        <f>SUM(B125:B126)</f>
        <v>39132.39851189607</v>
      </c>
      <c r="C127" s="307">
        <f>SUM(C125:C126)</f>
        <v>1</v>
      </c>
      <c r="J127" s="46"/>
      <c r="K127" s="181"/>
    </row>
    <row r="128" spans="1:11" x14ac:dyDescent="0.2">
      <c r="A128" s="1"/>
      <c r="B128" s="1"/>
      <c r="C128" s="1"/>
      <c r="D128" s="1"/>
      <c r="E128" s="1"/>
      <c r="F128" s="1"/>
      <c r="G128" s="1"/>
    </row>
    <row r="129" spans="1:11" x14ac:dyDescent="0.2">
      <c r="A129" s="1"/>
      <c r="B129" s="1"/>
      <c r="C129" s="1"/>
      <c r="D129" s="1"/>
      <c r="E129" s="1"/>
      <c r="F129" s="691"/>
      <c r="G129" s="1"/>
    </row>
    <row r="130" spans="1:11" ht="18" x14ac:dyDescent="0.25">
      <c r="A130" s="581" t="s">
        <v>322</v>
      </c>
      <c r="B130" s="437"/>
      <c r="C130" s="437"/>
      <c r="D130" s="437"/>
      <c r="E130" s="437"/>
    </row>
    <row r="131" spans="1:11" s="1" customFormat="1" x14ac:dyDescent="0.2">
      <c r="A131"/>
      <c r="B131" s="303" t="s">
        <v>243</v>
      </c>
      <c r="C131" s="302" t="s">
        <v>217</v>
      </c>
      <c r="D131"/>
      <c r="E131"/>
      <c r="J131" s="46"/>
      <c r="K131" s="181"/>
    </row>
    <row r="132" spans="1:11" s="1" customFormat="1" x14ac:dyDescent="0.2">
      <c r="A132" s="106" t="s">
        <v>321</v>
      </c>
      <c r="J132" s="46"/>
      <c r="K132" s="181"/>
    </row>
    <row r="133" spans="1:11" s="1" customFormat="1" x14ac:dyDescent="0.2">
      <c r="A133" s="110" t="s">
        <v>108</v>
      </c>
      <c r="B133" s="200">
        <f>F25-F24</f>
        <v>4240</v>
      </c>
      <c r="C133" s="107">
        <f t="shared" ref="C133:C142" si="6">B133/$F$66</f>
        <v>0.10835011809232852</v>
      </c>
      <c r="J133" s="46"/>
      <c r="K133" s="181"/>
    </row>
    <row r="134" spans="1:11" s="1" customFormat="1" x14ac:dyDescent="0.2">
      <c r="B134" s="43"/>
      <c r="C134" s="107">
        <f t="shared" si="6"/>
        <v>0</v>
      </c>
      <c r="J134" s="46"/>
      <c r="K134" s="181"/>
    </row>
    <row r="135" spans="1:11" s="1" customFormat="1" x14ac:dyDescent="0.2">
      <c r="A135" s="106" t="s">
        <v>23</v>
      </c>
      <c r="B135" s="46"/>
      <c r="C135" s="107">
        <f t="shared" si="6"/>
        <v>0</v>
      </c>
      <c r="J135" s="46"/>
      <c r="K135" s="181"/>
    </row>
    <row r="136" spans="1:11" s="1" customFormat="1" x14ac:dyDescent="0.2">
      <c r="A136" s="1" t="str">
        <f>B38</f>
        <v>Anbaugebläsepritze 1000 l</v>
      </c>
      <c r="B136" s="43">
        <f>F38</f>
        <v>925.0411467012492</v>
      </c>
      <c r="C136" s="107">
        <f t="shared" si="6"/>
        <v>2.3638754123901731E-2</v>
      </c>
      <c r="J136" s="46"/>
      <c r="K136" s="181"/>
    </row>
    <row r="137" spans="1:11" s="1" customFormat="1" x14ac:dyDescent="0.2">
      <c r="A137" s="1" t="str">
        <f>B39</f>
        <v>Herbizidspritze beideseitig + Herbizidfass</v>
      </c>
      <c r="B137" s="43">
        <f>F39</f>
        <v>126.00560484795395</v>
      </c>
      <c r="C137" s="107">
        <f t="shared" si="6"/>
        <v>3.2199816428233712E-3</v>
      </c>
      <c r="J137" s="46"/>
      <c r="K137" s="181"/>
    </row>
    <row r="138" spans="1:11" s="1" customFormat="1" x14ac:dyDescent="0.2">
      <c r="A138" s="1" t="s">
        <v>24</v>
      </c>
      <c r="B138" s="703">
        <f>((C38*D38)+(C39*D39))*E46</f>
        <v>1148.0510663924695</v>
      </c>
      <c r="C138" s="107">
        <f t="shared" si="6"/>
        <v>2.9337610523501829E-2</v>
      </c>
      <c r="J138" s="46"/>
      <c r="K138" s="181"/>
    </row>
    <row r="139" spans="1:11" s="1" customFormat="1" x14ac:dyDescent="0.2">
      <c r="B139" s="200">
        <f>SUM(B136:B138)</f>
        <v>2199.0978179416725</v>
      </c>
      <c r="C139" s="107">
        <f t="shared" si="6"/>
        <v>5.6196346290226927E-2</v>
      </c>
      <c r="J139" s="46"/>
      <c r="K139" s="181"/>
    </row>
    <row r="140" spans="1:11" s="1" customFormat="1" x14ac:dyDescent="0.2">
      <c r="B140" s="46"/>
      <c r="C140" s="107">
        <f t="shared" si="6"/>
        <v>0</v>
      </c>
      <c r="J140" s="46"/>
      <c r="K140" s="181"/>
    </row>
    <row r="141" spans="1:11" s="1" customFormat="1" x14ac:dyDescent="0.2">
      <c r="A141" s="106" t="s">
        <v>28</v>
      </c>
      <c r="B141" s="46"/>
      <c r="C141" s="107">
        <f t="shared" si="6"/>
        <v>0</v>
      </c>
      <c r="J141" s="46"/>
      <c r="K141" s="181"/>
    </row>
    <row r="142" spans="1:11" s="1" customFormat="1" x14ac:dyDescent="0.2">
      <c r="A142" s="23" t="str">
        <f>B52</f>
        <v>Pflanzenschutz inkl. Kontrolle und Mausen</v>
      </c>
      <c r="B142" s="121">
        <f>F52</f>
        <v>1569.6000000000001</v>
      </c>
      <c r="C142" s="107">
        <f t="shared" si="6"/>
        <v>4.010998711266954E-2</v>
      </c>
      <c r="J142" s="46"/>
      <c r="K142" s="181"/>
    </row>
    <row r="143" spans="1:11" s="1" customFormat="1" x14ac:dyDescent="0.2">
      <c r="J143" s="46"/>
      <c r="K143" s="181"/>
    </row>
    <row r="144" spans="1:11" s="1" customFormat="1" x14ac:dyDescent="0.2">
      <c r="A144" s="106" t="s">
        <v>331</v>
      </c>
      <c r="B144" s="200">
        <f>B133+B139+B142</f>
        <v>8008.6978179416728</v>
      </c>
      <c r="C144" s="695">
        <f>B144/$F$66</f>
        <v>0.20465645149522499</v>
      </c>
      <c r="J144" s="46"/>
      <c r="K144" s="181"/>
    </row>
    <row r="145" spans="1:11" x14ac:dyDescent="0.2">
      <c r="A145" s="1" t="s">
        <v>324</v>
      </c>
      <c r="B145" s="43">
        <f>F66-B151</f>
        <v>31123.700693954397</v>
      </c>
      <c r="C145" s="107">
        <f>B145/$F$66</f>
        <v>0.79534354850477496</v>
      </c>
      <c r="D145" s="1"/>
      <c r="E145" s="1"/>
    </row>
    <row r="147" spans="1:11" s="1" customFormat="1" ht="25.5" x14ac:dyDescent="0.2">
      <c r="A147" s="64" t="s">
        <v>323</v>
      </c>
      <c r="B147" s="303" t="s">
        <v>243</v>
      </c>
      <c r="C147" s="392" t="s">
        <v>345</v>
      </c>
      <c r="D147"/>
      <c r="E147"/>
      <c r="J147" s="46"/>
      <c r="K147" s="181"/>
    </row>
    <row r="148" spans="1:11" s="1" customFormat="1" x14ac:dyDescent="0.2">
      <c r="A148" s="1" t="s">
        <v>321</v>
      </c>
      <c r="B148" s="43">
        <f>B133</f>
        <v>4240</v>
      </c>
      <c r="C148" s="107">
        <f>B148/$B$151</f>
        <v>0.52942439537439412</v>
      </c>
      <c r="J148" s="46"/>
      <c r="K148" s="181"/>
    </row>
    <row r="149" spans="1:11" s="1" customFormat="1" x14ac:dyDescent="0.2">
      <c r="A149" s="1" t="s">
        <v>23</v>
      </c>
      <c r="B149" s="43">
        <f>B139</f>
        <v>2199.0978179416725</v>
      </c>
      <c r="C149" s="107">
        <f>B149/$B$151</f>
        <v>0.27458868694172628</v>
      </c>
      <c r="J149" s="46"/>
      <c r="K149" s="181"/>
    </row>
    <row r="150" spans="1:11" s="306" customFormat="1" ht="28.5" customHeight="1" x14ac:dyDescent="0.2">
      <c r="A150" s="208" t="s">
        <v>28</v>
      </c>
      <c r="B150" s="118">
        <f>B142</f>
        <v>1569.6000000000001</v>
      </c>
      <c r="C150" s="209">
        <f>B150/$B$151</f>
        <v>0.19598691768387952</v>
      </c>
      <c r="D150" s="1"/>
      <c r="E150" s="1"/>
      <c r="J150" s="246"/>
      <c r="K150" s="837"/>
    </row>
    <row r="151" spans="1:11" s="306" customFormat="1" ht="16.5" customHeight="1" x14ac:dyDescent="0.2">
      <c r="A151" s="704" t="s">
        <v>427</v>
      </c>
      <c r="B151" s="309">
        <f>SUM(B148:B150)</f>
        <v>8008.6978179416728</v>
      </c>
      <c r="C151" s="107">
        <f>B151/$B$151</f>
        <v>1</v>
      </c>
      <c r="J151" s="246"/>
      <c r="K151" s="837"/>
    </row>
    <row r="152" spans="1:11" s="1" customFormat="1" x14ac:dyDescent="0.2">
      <c r="A152" s="306"/>
      <c r="B152" s="701"/>
      <c r="C152" s="838"/>
      <c r="D152" s="306"/>
      <c r="E152" s="306"/>
      <c r="J152" s="46"/>
      <c r="K152" s="181"/>
    </row>
    <row r="153" spans="1:11" x14ac:dyDescent="0.2">
      <c r="A153" s="1"/>
      <c r="B153" s="1"/>
      <c r="C153" s="1"/>
      <c r="D153" s="1"/>
      <c r="E153" s="1"/>
      <c r="F153" s="691"/>
      <c r="G153" s="1"/>
    </row>
    <row r="154" spans="1:11" ht="18.75" x14ac:dyDescent="0.3">
      <c r="A154" s="581" t="s">
        <v>333</v>
      </c>
      <c r="B154" s="437"/>
      <c r="C154" s="437"/>
      <c r="D154" s="437"/>
      <c r="E154" s="437"/>
    </row>
    <row r="155" spans="1:11" s="1" customFormat="1" x14ac:dyDescent="0.2">
      <c r="A155"/>
      <c r="B155" s="303" t="s">
        <v>243</v>
      </c>
      <c r="C155" s="302" t="s">
        <v>217</v>
      </c>
      <c r="D155"/>
      <c r="E155"/>
      <c r="J155" s="46"/>
      <c r="K155" s="181"/>
    </row>
    <row r="156" spans="1:11" s="1" customFormat="1" x14ac:dyDescent="0.2">
      <c r="A156" s="1" t="s">
        <v>23</v>
      </c>
      <c r="J156" s="46"/>
      <c r="K156" s="181"/>
    </row>
    <row r="157" spans="1:11" s="1" customFormat="1" x14ac:dyDescent="0.2">
      <c r="A157" s="110" t="str">
        <f>B41</f>
        <v>Erntewagen 4 Grosskisten</v>
      </c>
      <c r="B157" s="43">
        <f>F41</f>
        <v>260.67826188121683</v>
      </c>
      <c r="C157" s="107">
        <f>B157/$F$66</f>
        <v>6.661443504465279E-3</v>
      </c>
      <c r="J157" s="46"/>
      <c r="K157" s="181"/>
    </row>
    <row r="158" spans="1:11" s="1" customFormat="1" x14ac:dyDescent="0.2">
      <c r="A158" s="110" t="s">
        <v>24</v>
      </c>
      <c r="B158" s="168">
        <f>((D42*E42))</f>
        <v>54.402419870862651</v>
      </c>
      <c r="C158" s="107">
        <f>B158/$F$66</f>
        <v>1.3902142965840584E-3</v>
      </c>
      <c r="J158" s="46"/>
      <c r="K158" s="181"/>
    </row>
    <row r="159" spans="1:11" s="1" customFormat="1" x14ac:dyDescent="0.2">
      <c r="A159" s="1" t="s">
        <v>28</v>
      </c>
      <c r="B159" s="46"/>
      <c r="C159" s="107"/>
      <c r="J159" s="46"/>
      <c r="K159" s="181"/>
    </row>
    <row r="160" spans="1:11" s="1" customFormat="1" x14ac:dyDescent="0.2">
      <c r="A160" s="190" t="str">
        <f>B59</f>
        <v>Ernte baumfallend</v>
      </c>
      <c r="B160" s="60">
        <f>F58</f>
        <v>463.6</v>
      </c>
      <c r="C160" s="107">
        <f>B160/$F$66</f>
        <v>1.1846961025378185E-2</v>
      </c>
      <c r="J160" s="46"/>
      <c r="K160" s="181"/>
    </row>
    <row r="161" spans="1:11" s="1" customFormat="1" x14ac:dyDescent="0.2">
      <c r="A161" s="106" t="s">
        <v>332</v>
      </c>
      <c r="B161" s="200">
        <f>SUM(B157:B160)</f>
        <v>778.68068175207952</v>
      </c>
      <c r="C161" s="695">
        <f>B161/$F$66</f>
        <v>1.9898618826427523E-2</v>
      </c>
      <c r="J161" s="46"/>
      <c r="K161" s="181"/>
    </row>
    <row r="162" spans="1:11" x14ac:dyDescent="0.2">
      <c r="A162" s="1" t="s">
        <v>324</v>
      </c>
      <c r="B162" s="43">
        <f>F66-B161</f>
        <v>38353.717830143993</v>
      </c>
      <c r="C162" s="107">
        <f>B162/$F$66</f>
        <v>0.98010138117357248</v>
      </c>
      <c r="D162" s="1"/>
      <c r="E162" s="1"/>
    </row>
    <row r="164" spans="1:11" s="1" customFormat="1" x14ac:dyDescent="0.2">
      <c r="A164" s="64" t="s">
        <v>323</v>
      </c>
      <c r="B164" s="303" t="s">
        <v>243</v>
      </c>
      <c r="C164" s="302" t="s">
        <v>348</v>
      </c>
      <c r="D164"/>
      <c r="E164"/>
      <c r="J164" s="46"/>
      <c r="K164" s="181"/>
    </row>
    <row r="165" spans="1:11" s="1" customFormat="1" x14ac:dyDescent="0.2">
      <c r="A165" s="1" t="s">
        <v>23</v>
      </c>
      <c r="B165" s="43">
        <f>B157+B158</f>
        <v>315.0806817520795</v>
      </c>
      <c r="C165" s="107">
        <f>B165/$B$167</f>
        <v>0.40463400355987844</v>
      </c>
      <c r="J165" s="46"/>
      <c r="K165" s="181"/>
    </row>
    <row r="166" spans="1:11" s="1" customFormat="1" x14ac:dyDescent="0.2">
      <c r="A166" s="208" t="s">
        <v>28</v>
      </c>
      <c r="B166" s="118">
        <f>B160</f>
        <v>463.6</v>
      </c>
      <c r="C166" s="209">
        <f>B166/$B$167</f>
        <v>0.59536599644012156</v>
      </c>
      <c r="J166" s="46"/>
      <c r="K166" s="181"/>
    </row>
    <row r="167" spans="1:11" s="1" customFormat="1" x14ac:dyDescent="0.2">
      <c r="A167" s="1" t="s">
        <v>332</v>
      </c>
      <c r="B167" s="200">
        <f>SUM(B165:B166)</f>
        <v>778.68068175207952</v>
      </c>
      <c r="C167" s="107">
        <f>B167/$B$167</f>
        <v>1</v>
      </c>
      <c r="J167" s="46"/>
      <c r="K167" s="181"/>
    </row>
    <row r="168" spans="1:11" x14ac:dyDescent="0.2">
      <c r="A168" s="1"/>
      <c r="B168" s="43"/>
      <c r="C168" s="107"/>
      <c r="D168" s="1"/>
      <c r="E168" s="1"/>
    </row>
  </sheetData>
  <mergeCells count="2">
    <mergeCell ref="B75:E75"/>
    <mergeCell ref="C2:F2"/>
  </mergeCells>
  <phoneticPr fontId="24" type="noConversion"/>
  <printOptions gridLines="1" gridLinesSet="0"/>
  <pageMargins left="0.78740157480314965" right="0.39370078740157483" top="0.59055118110236227" bottom="0.39370078740157483" header="0.51181102362204722" footer="0.51181102362204722"/>
  <pageSetup paperSize="9" scale="65" orientation="portrait" r:id="rId1"/>
  <headerFooter alignWithMargins="0">
    <oddFooter>&amp;L&amp;6&amp;F&amp;C&amp;6&amp;A  &amp;D&amp;R&amp;6Kontakt: patrik.mouron@faw.admin.ch</oddFooter>
  </headerFooter>
  <rowBreaks count="1" manualBreakCount="1">
    <brk id="78" max="6" man="1"/>
  </row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VarianteCashflow">
    <tabColor indexed="17"/>
  </sheetPr>
  <dimension ref="A1:Q67"/>
  <sheetViews>
    <sheetView zoomScale="75" workbookViewId="0">
      <selection activeCell="G9" sqref="G9"/>
    </sheetView>
  </sheetViews>
  <sheetFormatPr baseColWidth="10" defaultRowHeight="12.75" x14ac:dyDescent="0.2"/>
  <cols>
    <col min="1" max="1" width="33.7109375" customWidth="1"/>
    <col min="2" max="2" width="9.28515625" bestFit="1" customWidth="1"/>
    <col min="3" max="3" width="21.7109375" customWidth="1"/>
    <col min="4" max="4" width="17" customWidth="1"/>
    <col min="5" max="5" width="21.7109375" customWidth="1"/>
    <col min="6" max="6" width="12.7109375" customWidth="1"/>
    <col min="7" max="7" width="16" customWidth="1"/>
    <col min="8" max="8" width="13" customWidth="1"/>
    <col min="11" max="11" width="14.7109375" customWidth="1"/>
  </cols>
  <sheetData>
    <row r="1" spans="1:10" ht="26.25" x14ac:dyDescent="0.25">
      <c r="A1" s="1036" t="str">
        <f>'Variante Vorgaben'!A1</f>
        <v>Arbokost 2023</v>
      </c>
      <c r="B1" s="452"/>
      <c r="C1" s="636" t="str">
        <f>'Variante Vorgaben'!B8</f>
        <v>Tafelbirnen</v>
      </c>
      <c r="D1" s="452"/>
      <c r="E1" s="452"/>
      <c r="F1" s="452"/>
      <c r="G1" s="452"/>
      <c r="H1" s="452"/>
      <c r="I1" s="452"/>
      <c r="J1" s="452"/>
    </row>
    <row r="2" spans="1:10" ht="25.5" customHeight="1" x14ac:dyDescent="0.3">
      <c r="A2" s="871" t="str">
        <f>'Variante Vorgaben'!A2</f>
        <v>Variante 1ha</v>
      </c>
      <c r="B2" s="705"/>
      <c r="C2" s="931">
        <f>'Variante Vorgaben'!B11</f>
        <v>2000</v>
      </c>
      <c r="D2" s="452"/>
      <c r="E2" s="452"/>
      <c r="F2" s="452"/>
      <c r="G2" s="839"/>
      <c r="H2" s="452"/>
      <c r="I2" s="452"/>
      <c r="J2" s="452"/>
    </row>
    <row r="3" spans="1:10" ht="20.25" x14ac:dyDescent="0.3">
      <c r="A3" s="840"/>
      <c r="B3" s="705"/>
      <c r="C3" s="451"/>
      <c r="D3" s="452"/>
      <c r="E3" s="452"/>
      <c r="F3" s="452"/>
      <c r="G3" s="839"/>
      <c r="H3" s="452"/>
      <c r="I3" s="452"/>
      <c r="J3" s="452"/>
    </row>
    <row r="4" spans="1:10" ht="23.25" customHeight="1" x14ac:dyDescent="0.35">
      <c r="A4" s="841" t="s">
        <v>392</v>
      </c>
      <c r="B4" s="842"/>
      <c r="C4" s="843"/>
      <c r="D4" s="843"/>
      <c r="E4" s="843"/>
      <c r="F4" s="844"/>
      <c r="G4" s="844"/>
      <c r="H4" s="844"/>
      <c r="I4" s="547"/>
      <c r="J4" s="547"/>
    </row>
    <row r="5" spans="1:10" ht="38.25" customHeight="1" x14ac:dyDescent="0.3">
      <c r="A5" s="710"/>
      <c r="B5" s="466"/>
      <c r="C5" s="466"/>
      <c r="D5" s="711"/>
      <c r="E5" s="712"/>
      <c r="F5" s="151"/>
    </row>
    <row r="6" spans="1:10" s="1" customFormat="1" ht="18" customHeight="1" x14ac:dyDescent="0.25">
      <c r="A6" s="713"/>
      <c r="B6" s="932"/>
      <c r="C6" s="932"/>
      <c r="D6" s="932"/>
      <c r="E6" s="932"/>
      <c r="F6" s="279"/>
      <c r="G6" s="279"/>
      <c r="H6" s="934"/>
      <c r="I6" s="23"/>
    </row>
    <row r="7" spans="1:10" s="1" customFormat="1" ht="20.25" x14ac:dyDescent="0.3">
      <c r="A7" s="133"/>
      <c r="B7" s="72"/>
      <c r="F7" s="935"/>
      <c r="G7" s="935"/>
      <c r="H7" s="935"/>
      <c r="I7" s="23"/>
    </row>
    <row r="8" spans="1:10" s="1" customFormat="1" ht="20.25" x14ac:dyDescent="0.3">
      <c r="A8" s="133"/>
      <c r="B8" s="72"/>
      <c r="F8" s="23"/>
      <c r="G8" s="936"/>
      <c r="H8" s="23"/>
      <c r="I8" s="23"/>
    </row>
    <row r="9" spans="1:10" s="1" customFormat="1" ht="20.25" x14ac:dyDescent="0.3">
      <c r="A9" s="133"/>
      <c r="B9" s="72"/>
      <c r="F9" s="23"/>
      <c r="G9" s="936"/>
      <c r="H9" s="23"/>
      <c r="I9" s="23"/>
    </row>
    <row r="10" spans="1:10" s="1" customFormat="1" ht="20.25" x14ac:dyDescent="0.3">
      <c r="A10" s="133"/>
      <c r="B10" s="72"/>
      <c r="F10" s="23"/>
      <c r="G10" s="936"/>
      <c r="H10" s="23"/>
      <c r="I10" s="23"/>
    </row>
    <row r="11" spans="1:10" s="1" customFormat="1" ht="20.25" x14ac:dyDescent="0.3">
      <c r="A11" s="133"/>
      <c r="B11" s="72"/>
      <c r="G11" s="134"/>
    </row>
    <row r="12" spans="1:10" s="1" customFormat="1" ht="20.25" x14ac:dyDescent="0.3">
      <c r="A12" s="133"/>
      <c r="B12" s="72"/>
      <c r="G12" s="134"/>
    </row>
    <row r="13" spans="1:10" s="1" customFormat="1" ht="20.25" x14ac:dyDescent="0.3">
      <c r="A13" s="133"/>
      <c r="B13" s="72"/>
      <c r="G13" s="134"/>
    </row>
    <row r="14" spans="1:10" s="1" customFormat="1" ht="20.25" x14ac:dyDescent="0.3">
      <c r="A14" s="133"/>
      <c r="B14" s="72"/>
      <c r="G14" s="134"/>
    </row>
    <row r="15" spans="1:10" s="1" customFormat="1" ht="20.25" x14ac:dyDescent="0.3">
      <c r="A15" s="133"/>
      <c r="B15" s="72"/>
      <c r="G15" s="134"/>
    </row>
    <row r="16" spans="1:10" s="1" customFormat="1" ht="20.25" x14ac:dyDescent="0.3">
      <c r="A16" s="133"/>
      <c r="B16" s="72"/>
      <c r="G16" s="134"/>
    </row>
    <row r="17" spans="1:17" s="1" customFormat="1" ht="20.25" x14ac:dyDescent="0.3">
      <c r="A17" s="133"/>
      <c r="B17" s="72"/>
      <c r="G17" s="134"/>
    </row>
    <row r="18" spans="1:17" s="1" customFormat="1" ht="20.25" x14ac:dyDescent="0.3">
      <c r="A18" s="133"/>
      <c r="B18" s="72"/>
      <c r="G18" s="134"/>
    </row>
    <row r="19" spans="1:17" s="1" customFormat="1" ht="20.25" x14ac:dyDescent="0.3">
      <c r="A19" s="133"/>
      <c r="B19" s="72"/>
      <c r="G19" s="134"/>
    </row>
    <row r="20" spans="1:17" s="1" customFormat="1" ht="128.25" customHeight="1" x14ac:dyDescent="0.3">
      <c r="A20" s="72"/>
      <c r="B20" s="72"/>
      <c r="G20" s="134"/>
    </row>
    <row r="21" spans="1:17" ht="22.5" customHeight="1" x14ac:dyDescent="0.2">
      <c r="A21" s="3" t="s">
        <v>38</v>
      </c>
      <c r="B21" s="3"/>
      <c r="C21" s="1"/>
      <c r="D21" s="1"/>
      <c r="E21" s="97" t="str">
        <f>'Variante Vorgaben'!B46</f>
        <v>Klasse I</v>
      </c>
      <c r="F21" s="97" t="str">
        <f>'Variante Vorgaben'!C46</f>
        <v>Klasse II</v>
      </c>
      <c r="G21" s="97" t="str">
        <f>'Variante Vorgaben'!D46</f>
        <v>Mostobst total</v>
      </c>
    </row>
    <row r="22" spans="1:17" ht="15" customHeight="1" x14ac:dyDescent="0.2">
      <c r="A22" s="937">
        <f>'Variante Vorgaben'!$B$11</f>
        <v>2000</v>
      </c>
      <c r="B22" s="3"/>
      <c r="C22" s="3"/>
      <c r="D22" s="1"/>
      <c r="E22" s="62">
        <f>'Variante Vorgaben'!B70</f>
        <v>1.2199999999999998</v>
      </c>
      <c r="F22" s="62">
        <f>'Variante Vorgaben'!C70</f>
        <v>0.40000000000000008</v>
      </c>
      <c r="G22" s="62">
        <f>'Variante Vorgaben'!D70</f>
        <v>0</v>
      </c>
    </row>
    <row r="23" spans="1:17" ht="32.25" customHeight="1" x14ac:dyDescent="0.2">
      <c r="A23" s="965"/>
      <c r="B23" s="966"/>
      <c r="C23" s="977" t="s">
        <v>357</v>
      </c>
      <c r="D23" s="966"/>
      <c r="E23" s="966"/>
      <c r="F23" s="966"/>
      <c r="G23" s="966"/>
      <c r="H23" s="966"/>
      <c r="I23" s="966"/>
      <c r="J23" s="969"/>
    </row>
    <row r="24" spans="1:17" ht="15" x14ac:dyDescent="0.25">
      <c r="A24" s="967"/>
      <c r="B24" s="968"/>
      <c r="C24" s="978" t="s">
        <v>243</v>
      </c>
      <c r="D24" s="970" t="s">
        <v>257</v>
      </c>
      <c r="E24" s="970" t="s">
        <v>260</v>
      </c>
      <c r="F24" s="970" t="s">
        <v>264</v>
      </c>
      <c r="G24" s="970" t="s">
        <v>196</v>
      </c>
      <c r="H24" s="970" t="s">
        <v>55</v>
      </c>
      <c r="I24" s="970" t="s">
        <v>71</v>
      </c>
      <c r="J24" s="971" t="s">
        <v>66</v>
      </c>
    </row>
    <row r="25" spans="1:17" x14ac:dyDescent="0.2">
      <c r="A25" s="412" t="s">
        <v>72</v>
      </c>
      <c r="B25" s="13">
        <v>0</v>
      </c>
      <c r="C25" s="979">
        <f>'Variante 1.-20. Standjahr'!F70</f>
        <v>-84975.419771157554</v>
      </c>
      <c r="D25" s="938">
        <v>0</v>
      </c>
      <c r="E25" s="939">
        <f>C25*(-1)</f>
        <v>84975.419771157554</v>
      </c>
      <c r="F25" s="940">
        <f t="shared" ref="F25:F45" si="0">D25-E25</f>
        <v>-84975.419771157554</v>
      </c>
      <c r="G25" s="202">
        <f t="shared" ref="G25:G45" si="1">D25/E25</f>
        <v>0</v>
      </c>
      <c r="H25" s="60"/>
      <c r="I25" s="60"/>
      <c r="J25" s="943">
        <f>('Variante 1.-20. Standjahr'!F70)*(-1)</f>
        <v>84975.419771157554</v>
      </c>
    </row>
    <row r="26" spans="1:17" x14ac:dyDescent="0.2">
      <c r="A26" s="412" t="s">
        <v>73</v>
      </c>
      <c r="B26" s="13">
        <v>1</v>
      </c>
      <c r="C26" s="979">
        <f>'Variante 1.-20. Standjahr'!F71</f>
        <v>-94029.292186842751</v>
      </c>
      <c r="D26" s="938">
        <f>'Variante 1.-20. Standjahr'!F14</f>
        <v>1100</v>
      </c>
      <c r="E26" s="939">
        <f>'Variante 1.-20. Standjahr'!F67</f>
        <v>10153.872415685202</v>
      </c>
      <c r="F26" s="940">
        <f t="shared" si="0"/>
        <v>-9053.8724156852022</v>
      </c>
      <c r="G26" s="202">
        <f t="shared" si="1"/>
        <v>0.10833305314145707</v>
      </c>
      <c r="H26" s="941">
        <f>'Variante 1.-20. Standjahr'!D12</f>
        <v>0</v>
      </c>
      <c r="I26" s="942">
        <f>H26/A22</f>
        <v>0</v>
      </c>
      <c r="J26" s="943">
        <f>'Variante 1.-20. Standjahr'!F72</f>
        <v>94029.292186842751</v>
      </c>
    </row>
    <row r="27" spans="1:17" x14ac:dyDescent="0.2">
      <c r="A27" s="412" t="s">
        <v>40</v>
      </c>
      <c r="B27" s="13">
        <v>2</v>
      </c>
      <c r="C27" s="979">
        <f>'Variante 1.-20. Standjahr'!M71</f>
        <v>-102751.90307027666</v>
      </c>
      <c r="D27" s="938">
        <f>'Variante 1.-20. Standjahr'!M14</f>
        <v>3722</v>
      </c>
      <c r="E27" s="939">
        <f>'Variante 1.-20. Standjahr'!M67</f>
        <v>12444.610883433907</v>
      </c>
      <c r="F27" s="940">
        <f t="shared" si="0"/>
        <v>-8722.6108834339066</v>
      </c>
      <c r="G27" s="202">
        <f t="shared" si="1"/>
        <v>0.29908528557969416</v>
      </c>
      <c r="H27" s="941">
        <f>'Variante 1.-20. Standjahr'!K12</f>
        <v>3000</v>
      </c>
      <c r="I27" s="942">
        <f>H27/A22</f>
        <v>1.5</v>
      </c>
      <c r="J27" s="943">
        <f>'Variante 1.-20. Standjahr'!M72</f>
        <v>102751.90307027666</v>
      </c>
    </row>
    <row r="28" spans="1:17" s="82" customFormat="1" x14ac:dyDescent="0.2">
      <c r="A28" s="944" t="s">
        <v>41</v>
      </c>
      <c r="B28" s="945">
        <v>3</v>
      </c>
      <c r="C28" s="979">
        <f>'Variante 1.-20. Standjahr'!T71</f>
        <v>-115628.17883305543</v>
      </c>
      <c r="D28" s="939">
        <f>'Variante 1.-20. Standjahr'!T14</f>
        <v>5470</v>
      </c>
      <c r="E28" s="939">
        <f>'Variante 1.-20. Standjahr'!T67</f>
        <v>18346.275762778758</v>
      </c>
      <c r="F28" s="946">
        <f t="shared" si="0"/>
        <v>-12876.275762778758</v>
      </c>
      <c r="G28" s="859">
        <f t="shared" si="1"/>
        <v>0.29815315493608957</v>
      </c>
      <c r="H28" s="947">
        <f>'Variante 1.-20. Standjahr'!R12</f>
        <v>5000</v>
      </c>
      <c r="I28" s="948">
        <f>H28/A22</f>
        <v>2.5</v>
      </c>
      <c r="J28" s="949">
        <f>'Variante 1.-20. Standjahr'!T72</f>
        <v>115628.17883305543</v>
      </c>
      <c r="K28"/>
      <c r="L28"/>
      <c r="M28"/>
      <c r="N28"/>
      <c r="O28"/>
      <c r="P28"/>
      <c r="Q28"/>
    </row>
    <row r="29" spans="1:17" s="82" customFormat="1" x14ac:dyDescent="0.2">
      <c r="A29" s="944" t="s">
        <v>42</v>
      </c>
      <c r="B29" s="945">
        <v>4</v>
      </c>
      <c r="C29" s="979">
        <f>'Variante 1.-20. Standjahr'!AA71</f>
        <v>-126133.53194756471</v>
      </c>
      <c r="D29" s="939">
        <f>'Variante 1.-20. Standjahr'!AA14</f>
        <v>9840</v>
      </c>
      <c r="E29" s="939">
        <f>'Variante 1.-20. Standjahr'!AA67</f>
        <v>20345.353114509289</v>
      </c>
      <c r="F29" s="946">
        <f t="shared" si="0"/>
        <v>-10505.353114509289</v>
      </c>
      <c r="G29" s="859">
        <f t="shared" si="1"/>
        <v>0.48364852379891127</v>
      </c>
      <c r="H29" s="947">
        <f>'Variante 1.-20. Standjahr'!Y12</f>
        <v>10000</v>
      </c>
      <c r="I29" s="948">
        <f>H29/A22</f>
        <v>5</v>
      </c>
      <c r="J29" s="949">
        <f>'Variante 1.-20. Standjahr'!AA72</f>
        <v>126133.53194756471</v>
      </c>
      <c r="K29"/>
      <c r="L29"/>
      <c r="M29"/>
      <c r="N29"/>
      <c r="O29"/>
      <c r="P29"/>
      <c r="Q29"/>
    </row>
    <row r="30" spans="1:17" s="64" customFormat="1" x14ac:dyDescent="0.2">
      <c r="A30" s="950" t="s">
        <v>43</v>
      </c>
      <c r="B30" s="166">
        <v>5</v>
      </c>
      <c r="C30" s="980">
        <f>'Variante 1.-20. Standjahr'!AH71</f>
        <v>-134136.23908068184</v>
      </c>
      <c r="D30" s="951">
        <f>'Variante 1.-20. Standjahr'!AH14</f>
        <v>18580</v>
      </c>
      <c r="E30" s="951">
        <f>'Variante 1.-20. Standjahr'!AH67</f>
        <v>26582.707133117128</v>
      </c>
      <c r="F30" s="952">
        <f t="shared" si="0"/>
        <v>-8002.7071331171283</v>
      </c>
      <c r="G30" s="953">
        <f t="shared" si="1"/>
        <v>0.69895063384469081</v>
      </c>
      <c r="H30" s="921">
        <f>'Variante 1.-20. Standjahr'!AF12</f>
        <v>20000</v>
      </c>
      <c r="I30" s="920">
        <f>H30/A22</f>
        <v>10</v>
      </c>
      <c r="J30" s="954">
        <f>'Variante 1.-20. Standjahr'!AH72</f>
        <v>134136.23908068184</v>
      </c>
      <c r="K30"/>
      <c r="L30"/>
      <c r="M30"/>
      <c r="N30"/>
      <c r="O30"/>
      <c r="P30"/>
      <c r="Q30"/>
    </row>
    <row r="31" spans="1:17" x14ac:dyDescent="0.2">
      <c r="A31" s="412" t="s">
        <v>44</v>
      </c>
      <c r="B31" s="13">
        <v>6</v>
      </c>
      <c r="C31" s="975">
        <f>'Variante 1.-20. Standjahr'!AO71</f>
        <v>-134430.2216538658</v>
      </c>
      <c r="D31" s="938">
        <f>'Variante 1.-20. Standjahr'!AO14</f>
        <v>29068</v>
      </c>
      <c r="E31" s="939">
        <f>'Variante 1.-20. Standjahr'!AO67</f>
        <v>29361.982573183948</v>
      </c>
      <c r="F31" s="940">
        <f t="shared" si="0"/>
        <v>-293.98257318394826</v>
      </c>
      <c r="G31" s="202">
        <f t="shared" si="1"/>
        <v>0.98998764567579167</v>
      </c>
      <c r="H31" s="941">
        <f>'Variante 1.-20. Standjahr'!AM12</f>
        <v>32000</v>
      </c>
      <c r="I31" s="942">
        <f>H31/A22</f>
        <v>16</v>
      </c>
      <c r="J31" s="943">
        <f>'Variante 1.-20. Standjahr'!AO72</f>
        <v>125193.82314196973</v>
      </c>
    </row>
    <row r="32" spans="1:17" x14ac:dyDescent="0.2">
      <c r="A32" s="412" t="s">
        <v>45</v>
      </c>
      <c r="B32" s="13">
        <v>7</v>
      </c>
      <c r="C32" s="975">
        <f>'Variante 1.-20. Standjahr'!AV71</f>
        <v>-134726.8500702084</v>
      </c>
      <c r="D32" s="938">
        <f>'Variante 1.-20. Standjahr'!AV14</f>
        <v>29068</v>
      </c>
      <c r="E32" s="939">
        <f>'Variante 1.-20. Standjahr'!AV67</f>
        <v>29364.628416342606</v>
      </c>
      <c r="F32" s="940">
        <f t="shared" si="0"/>
        <v>-296.62841634260622</v>
      </c>
      <c r="G32" s="202">
        <f t="shared" si="1"/>
        <v>0.9898984447500272</v>
      </c>
      <c r="H32" s="941">
        <f>'Variante 1.-20. Standjahr'!AT12</f>
        <v>32000</v>
      </c>
      <c r="I32" s="942">
        <f>H32/A22</f>
        <v>16</v>
      </c>
      <c r="J32" s="943">
        <f>'Variante 1.-20. Standjahr'!AV72</f>
        <v>116251.40720325761</v>
      </c>
    </row>
    <row r="33" spans="1:10" x14ac:dyDescent="0.2">
      <c r="A33" s="955" t="s">
        <v>46</v>
      </c>
      <c r="B33" s="956">
        <v>8</v>
      </c>
      <c r="C33" s="975">
        <f>'Variante 1.-20. Standjahr'!BC71</f>
        <v>-135026.1481422981</v>
      </c>
      <c r="D33" s="938">
        <f>'Variante 1.-20. Standjahr'!BC14</f>
        <v>29068</v>
      </c>
      <c r="E33" s="939">
        <f>'Variante 1.-20. Standjahr'!BC67</f>
        <v>29367.298072089689</v>
      </c>
      <c r="F33" s="940">
        <f t="shared" si="0"/>
        <v>-299.2980720896885</v>
      </c>
      <c r="G33" s="202">
        <f t="shared" si="1"/>
        <v>0.98980845730666189</v>
      </c>
      <c r="H33" s="941">
        <f>'Variante 1.-20. Standjahr'!BA12</f>
        <v>32000</v>
      </c>
      <c r="I33" s="942">
        <f>H33/A22</f>
        <v>16</v>
      </c>
      <c r="J33" s="943">
        <f>'Variante 1.-20. Standjahr'!BC72</f>
        <v>107308.99126454549</v>
      </c>
    </row>
    <row r="34" spans="1:10" x14ac:dyDescent="0.2">
      <c r="A34" s="412" t="s">
        <v>47</v>
      </c>
      <c r="B34" s="13">
        <v>9</v>
      </c>
      <c r="C34" s="975">
        <f>'Variante 1.-20. Standjahr'!BJ71</f>
        <v>-135328.1398970366</v>
      </c>
      <c r="D34" s="938">
        <f>'Variante 1.-20. Standjahr'!BJ14</f>
        <v>29068</v>
      </c>
      <c r="E34" s="939">
        <f>'Variante 1.-20. Standjahr'!BJ67</f>
        <v>29369.991754738494</v>
      </c>
      <c r="F34" s="940">
        <f t="shared" si="0"/>
        <v>-301.99175473849391</v>
      </c>
      <c r="G34" s="202">
        <f t="shared" si="1"/>
        <v>0.98971767655706711</v>
      </c>
      <c r="H34" s="941">
        <f>'Variante 1.-20. Standjahr'!BH12</f>
        <v>32000</v>
      </c>
      <c r="I34" s="942">
        <f>H34/A22</f>
        <v>16</v>
      </c>
      <c r="J34" s="943">
        <f>'Variante 1.-20. Standjahr'!BJ72</f>
        <v>98366.575325833372</v>
      </c>
    </row>
    <row r="35" spans="1:10" x14ac:dyDescent="0.2">
      <c r="A35" s="955" t="s">
        <v>48</v>
      </c>
      <c r="B35" s="13">
        <v>10</v>
      </c>
      <c r="C35" s="975">
        <f>'Variante 1.-20. Standjahr'!BQ71</f>
        <v>-135632.84957756774</v>
      </c>
      <c r="D35" s="938">
        <f>'Variante 1.-20. Standjahr'!BQ14</f>
        <v>29068</v>
      </c>
      <c r="E35" s="939">
        <f>'Variante 1.-20. Standjahr'!BQ67</f>
        <v>29372.709680531141</v>
      </c>
      <c r="F35" s="940">
        <f t="shared" si="0"/>
        <v>-304.7096805311412</v>
      </c>
      <c r="G35" s="202">
        <f t="shared" si="1"/>
        <v>0.98962609565663906</v>
      </c>
      <c r="H35" s="941">
        <f>'Variante 1.-20. Standjahr'!BO12</f>
        <v>32000</v>
      </c>
      <c r="I35" s="942">
        <f>H35/A22</f>
        <v>16</v>
      </c>
      <c r="J35" s="943">
        <f>'Variante 1.-20. Standjahr'!BQ72</f>
        <v>89424.159387121254</v>
      </c>
    </row>
    <row r="36" spans="1:10" x14ac:dyDescent="0.2">
      <c r="A36" s="955" t="s">
        <v>49</v>
      </c>
      <c r="B36" s="13">
        <v>11</v>
      </c>
      <c r="C36" s="975">
        <f>'Variante 1.-20. Standjahr'!BX71</f>
        <v>-135940.30164522366</v>
      </c>
      <c r="D36" s="957">
        <f>'Variante 1.-20. Standjahr'!BX14</f>
        <v>29068</v>
      </c>
      <c r="E36" s="958">
        <f>'Variante 1.-20. Standjahr'!BX67</f>
        <v>29375.452067655922</v>
      </c>
      <c r="F36" s="940">
        <f t="shared" si="0"/>
        <v>-307.45206765592229</v>
      </c>
      <c r="G36" s="202">
        <f t="shared" si="1"/>
        <v>0.98953370770438476</v>
      </c>
      <c r="H36" s="941">
        <f>'Variante 1.-20. Standjahr'!BV12</f>
        <v>32000</v>
      </c>
      <c r="I36" s="942">
        <f>H36/A22</f>
        <v>16</v>
      </c>
      <c r="J36" s="943">
        <f>'Variante 1.-20. Standjahr'!BX72</f>
        <v>80481.743448409135</v>
      </c>
    </row>
    <row r="37" spans="1:10" x14ac:dyDescent="0.2">
      <c r="A37" s="412" t="s">
        <v>50</v>
      </c>
      <c r="B37" s="13">
        <v>12</v>
      </c>
      <c r="C37" s="975">
        <f>'Variante 1.-20. Standjahr'!CE71</f>
        <v>-136250.52078148848</v>
      </c>
      <c r="D37" s="957">
        <f>'Variante 1.-20. Standjahr'!CE14</f>
        <v>29068</v>
      </c>
      <c r="E37" s="958">
        <f>'Variante 1.-20. Standjahr'!CE67</f>
        <v>29378.219136264826</v>
      </c>
      <c r="F37" s="940">
        <f t="shared" si="0"/>
        <v>-310.21913626482637</v>
      </c>
      <c r="G37" s="202">
        <f t="shared" si="1"/>
        <v>0.98944050574250475</v>
      </c>
      <c r="H37" s="941">
        <f>'Variante 1.-20. Standjahr'!CC12</f>
        <v>32000</v>
      </c>
      <c r="I37" s="942">
        <f>H37/A22</f>
        <v>16</v>
      </c>
      <c r="J37" s="943">
        <f>'Variante 1.-20. Standjahr'!CE72</f>
        <v>71539.327509697017</v>
      </c>
    </row>
    <row r="38" spans="1:10" x14ac:dyDescent="0.2">
      <c r="A38" s="412" t="s">
        <v>51</v>
      </c>
      <c r="B38" s="959">
        <v>13</v>
      </c>
      <c r="C38" s="975">
        <f>'Variante 1.-20. Standjahr'!CL71</f>
        <v>-136563.5318899797</v>
      </c>
      <c r="D38" s="957">
        <f>'Variante 1.-20. Standjahr'!CL14</f>
        <v>29068</v>
      </c>
      <c r="E38" s="958">
        <f>'Variante 1.-20. Standjahr'!CL67</f>
        <v>29381.01110849121</v>
      </c>
      <c r="F38" s="940">
        <f t="shared" si="0"/>
        <v>-313.0111084912096</v>
      </c>
      <c r="G38" s="202">
        <f t="shared" si="1"/>
        <v>0.9893464827559747</v>
      </c>
      <c r="H38" s="941">
        <f>'Variante 1.-20. Standjahr'!CJ12</f>
        <v>32000</v>
      </c>
      <c r="I38" s="942">
        <f>H38/A22</f>
        <v>16</v>
      </c>
      <c r="J38" s="943">
        <f>'Variante 1.-20. Standjahr'!CL72</f>
        <v>62596.911570984892</v>
      </c>
    </row>
    <row r="39" spans="1:10" x14ac:dyDescent="0.2">
      <c r="A39" s="412" t="s">
        <v>52</v>
      </c>
      <c r="B39" s="13">
        <v>14</v>
      </c>
      <c r="C39" s="975">
        <f>'Variante 1.-20. Standjahr'!CS71</f>
        <v>-136879.36009844733</v>
      </c>
      <c r="D39" s="957">
        <f>'Variante 1.-20. Standjahr'!CS14</f>
        <v>29068</v>
      </c>
      <c r="E39" s="958">
        <f>'Variante 1.-20. Standjahr'!CS67</f>
        <v>29383.828208467628</v>
      </c>
      <c r="F39" s="940">
        <f t="shared" si="0"/>
        <v>-315.82820846762843</v>
      </c>
      <c r="G39" s="202">
        <f t="shared" si="1"/>
        <v>0.98925163167212449</v>
      </c>
      <c r="H39" s="941">
        <f>'Variante 1.-20. Standjahr'!CQ12</f>
        <v>32000</v>
      </c>
      <c r="I39" s="942">
        <f>H39/A22</f>
        <v>16</v>
      </c>
      <c r="J39" s="943">
        <f>'Variante 1.-20. Standjahr'!CS72</f>
        <v>53654.495632272767</v>
      </c>
    </row>
    <row r="40" spans="1:10" x14ac:dyDescent="0.2">
      <c r="A40" s="412" t="s">
        <v>53</v>
      </c>
      <c r="B40" s="13">
        <v>15</v>
      </c>
      <c r="C40" s="975">
        <f>'Variante 1.-20. Standjahr'!CZ71</f>
        <v>-137198.03076079115</v>
      </c>
      <c r="D40" s="957">
        <f>'Variante 1.-20. Standjahr'!CZ14</f>
        <v>29068</v>
      </c>
      <c r="E40" s="958">
        <f>'Variante 1.-20. Standjahr'!CZ67</f>
        <v>29386.670662343837</v>
      </c>
      <c r="F40" s="940">
        <f t="shared" si="0"/>
        <v>-318.67066234383674</v>
      </c>
      <c r="G40" s="202">
        <f t="shared" si="1"/>
        <v>0.98915594536021456</v>
      </c>
      <c r="H40" s="941">
        <f>'Variante 1.-20. Standjahr'!CX12</f>
        <v>32000</v>
      </c>
      <c r="I40" s="942">
        <f t="shared" ref="I40:I45" si="2">H40/$A$22</f>
        <v>16</v>
      </c>
      <c r="J40" s="943">
        <f>'Variante 1.-20. Standjahr'!CZ72</f>
        <v>44712.079693560641</v>
      </c>
    </row>
    <row r="41" spans="1:10" x14ac:dyDescent="0.2">
      <c r="A41" s="412" t="s">
        <v>360</v>
      </c>
      <c r="B41" s="13">
        <v>16</v>
      </c>
      <c r="C41" s="975">
        <f>'Variante 1.-20. Standjahr'!DG71</f>
        <v>-137519.56945909609</v>
      </c>
      <c r="D41" s="957">
        <f>'Variante 1.-20. Standjahr'!DG14</f>
        <v>29068</v>
      </c>
      <c r="E41" s="958">
        <f>'Variante 1.-20. Standjahr'!DG67</f>
        <v>29389.538698304932</v>
      </c>
      <c r="F41" s="940">
        <f t="shared" si="0"/>
        <v>-321.53869830493204</v>
      </c>
      <c r="G41" s="202">
        <f t="shared" si="1"/>
        <v>0.98905941663101105</v>
      </c>
      <c r="H41" s="941">
        <f>'Variante 1.-20. Standjahr'!DE12</f>
        <v>32000</v>
      </c>
      <c r="I41" s="942">
        <f t="shared" si="2"/>
        <v>16</v>
      </c>
      <c r="J41" s="943">
        <f>'Variante 1.-20. Standjahr'!DG72</f>
        <v>35769.663754848516</v>
      </c>
    </row>
    <row r="42" spans="1:10" x14ac:dyDescent="0.2">
      <c r="A42" s="412" t="s">
        <v>361</v>
      </c>
      <c r="B42" s="13">
        <v>17</v>
      </c>
      <c r="C42" s="975">
        <f>'Variante 1.-20. Standjahr'!DN71</f>
        <v>-137844.00200568576</v>
      </c>
      <c r="D42" s="957">
        <f>'Variante 1.-20. Standjahr'!DN14</f>
        <v>29068</v>
      </c>
      <c r="E42" s="958">
        <f>'Variante 1.-20. Standjahr'!DN67</f>
        <v>29392.432546589676</v>
      </c>
      <c r="F42" s="940">
        <f t="shared" si="0"/>
        <v>-324.43254658967635</v>
      </c>
      <c r="G42" s="202">
        <f t="shared" si="1"/>
        <v>0.9889620382363582</v>
      </c>
      <c r="H42" s="941">
        <f>'Variante 1.-20. Standjahr'!DL12</f>
        <v>32000</v>
      </c>
      <c r="I42" s="942">
        <f t="shared" si="2"/>
        <v>16</v>
      </c>
      <c r="J42" s="943">
        <f>'Variante 1.-20. Standjahr'!DN72</f>
        <v>26827.247816136391</v>
      </c>
    </row>
    <row r="43" spans="1:10" x14ac:dyDescent="0.2">
      <c r="A43" s="412" t="s">
        <v>362</v>
      </c>
      <c r="B43" s="13">
        <v>18</v>
      </c>
      <c r="C43" s="975">
        <f>'Variante 1.-20. Standjahr'!DU71</f>
        <v>-138171.35444519474</v>
      </c>
      <c r="D43" s="957">
        <f>'Variante 1.-20. Standjahr'!DU14</f>
        <v>29068</v>
      </c>
      <c r="E43" s="958">
        <f>'Variante 1.-20. Standjahr'!DU67</f>
        <v>29395.352439508984</v>
      </c>
      <c r="F43" s="940">
        <f t="shared" si="0"/>
        <v>-327.35243950898439</v>
      </c>
      <c r="G43" s="202">
        <f t="shared" si="1"/>
        <v>0.98886380286874853</v>
      </c>
      <c r="H43" s="941">
        <f>'Variante 1.-20. Standjahr'!DS12</f>
        <v>32000</v>
      </c>
      <c r="I43" s="942">
        <f t="shared" si="2"/>
        <v>16</v>
      </c>
      <c r="J43" s="943">
        <f>'Variante 1.-20. Standjahr'!DU72</f>
        <v>17884.831877424265</v>
      </c>
    </row>
    <row r="44" spans="1:10" x14ac:dyDescent="0.2">
      <c r="A44" s="412" t="s">
        <v>363</v>
      </c>
      <c r="B44" s="13">
        <v>19</v>
      </c>
      <c r="C44" s="975">
        <f>'Variante 1.-20. Standjahr'!EB71</f>
        <v>-138501.6530566593</v>
      </c>
      <c r="D44" s="957">
        <f>'Variante 1.-20. Standjahr'!EB14</f>
        <v>29068</v>
      </c>
      <c r="E44" s="958">
        <f>'Variante 1.-20. Standjahr'!EB67</f>
        <v>29398.298611464565</v>
      </c>
      <c r="F44" s="940">
        <f t="shared" si="0"/>
        <v>-330.2986114645646</v>
      </c>
      <c r="G44" s="202">
        <f t="shared" si="1"/>
        <v>0.98876470316089116</v>
      </c>
      <c r="H44" s="941">
        <f>'Variante 1.-20. Standjahr'!DZ12</f>
        <v>32000</v>
      </c>
      <c r="I44" s="942">
        <f t="shared" si="2"/>
        <v>16</v>
      </c>
      <c r="J44" s="943">
        <f>'Variante 1.-20. Standjahr'!EB72</f>
        <v>8942.4159387121417</v>
      </c>
    </row>
    <row r="45" spans="1:10" x14ac:dyDescent="0.2">
      <c r="A45" s="960" t="s">
        <v>364</v>
      </c>
      <c r="B45" s="39">
        <v>20</v>
      </c>
      <c r="C45" s="981">
        <f>'Variante 1.-20. Standjahr'!EI71</f>
        <v>-144834.92435562704</v>
      </c>
      <c r="D45" s="161">
        <f>'Variante 1.-20. Standjahr'!EI14</f>
        <v>29068</v>
      </c>
      <c r="E45" s="422">
        <f>'Variante 1.-20. Standjahr'!EI67</f>
        <v>35401.271298967746</v>
      </c>
      <c r="F45" s="961">
        <f t="shared" si="0"/>
        <v>-6333.2712989677457</v>
      </c>
      <c r="G45" s="982">
        <f t="shared" si="1"/>
        <v>0.82110045581463575</v>
      </c>
      <c r="H45" s="962">
        <f>'Variante 1.-20. Standjahr'!EG12</f>
        <v>32000</v>
      </c>
      <c r="I45" s="963">
        <f t="shared" si="2"/>
        <v>16</v>
      </c>
      <c r="J45" s="964">
        <f>'Variante 1.-20. Standjahr'!EI72</f>
        <v>1.8189894035458565E-11</v>
      </c>
    </row>
    <row r="46" spans="1:10" x14ac:dyDescent="0.2">
      <c r="A46" s="14" t="s">
        <v>75</v>
      </c>
      <c r="B46" s="14"/>
      <c r="C46" s="66"/>
      <c r="D46" s="25"/>
      <c r="E46" s="25"/>
      <c r="F46" s="25"/>
      <c r="G46" s="25"/>
    </row>
    <row r="47" spans="1:10" x14ac:dyDescent="0.2">
      <c r="D47" s="16"/>
      <c r="E47" s="31"/>
    </row>
    <row r="48" spans="1:10" ht="21" customHeight="1" x14ac:dyDescent="0.25">
      <c r="A48" s="564" t="s">
        <v>370</v>
      </c>
      <c r="B48" s="480"/>
      <c r="C48" s="714">
        <f>C45</f>
        <v>-144834.92435562704</v>
      </c>
    </row>
    <row r="49" spans="1:5" ht="8.25" customHeight="1" x14ac:dyDescent="0.25">
      <c r="A49" s="48"/>
      <c r="B49" s="44"/>
      <c r="C49" s="91"/>
    </row>
    <row r="50" spans="1:5" ht="15.75" x14ac:dyDescent="0.25">
      <c r="A50" s="443" t="s">
        <v>76</v>
      </c>
      <c r="B50" s="480"/>
      <c r="C50" s="717">
        <f>'Variante Ertragsphase'!F72</f>
        <v>10.348774819204982</v>
      </c>
    </row>
    <row r="51" spans="1:5" x14ac:dyDescent="0.2">
      <c r="A51" t="s">
        <v>77</v>
      </c>
      <c r="B51" s="12"/>
      <c r="C51" s="181">
        <f>'Variante Ertragsphase'!D61-'Variante Ertragsphase'!B61</f>
        <v>344.63999999999993</v>
      </c>
    </row>
    <row r="52" spans="1:5" x14ac:dyDescent="0.2">
      <c r="A52" t="s">
        <v>240</v>
      </c>
      <c r="C52" s="716">
        <f>2800/C51</f>
        <v>8.1244196843082648</v>
      </c>
      <c r="D52" t="s">
        <v>244</v>
      </c>
    </row>
    <row r="53" spans="1:5" ht="9.75" customHeight="1" x14ac:dyDescent="0.2"/>
    <row r="54" spans="1:5" ht="22.5" customHeight="1" x14ac:dyDescent="0.25">
      <c r="A54" s="443" t="s">
        <v>349</v>
      </c>
      <c r="B54" s="496"/>
      <c r="C54" s="715"/>
    </row>
    <row r="55" spans="1:5" ht="15.75" x14ac:dyDescent="0.25">
      <c r="A55" s="443" t="str">
        <f>'Variante Vorgaben'!B15</f>
        <v>Klasse I</v>
      </c>
      <c r="B55" s="715">
        <f>'Variante Ertragsphase'!F81</f>
        <v>1.7070053698696086</v>
      </c>
      <c r="C55" s="480"/>
    </row>
    <row r="56" spans="1:5" ht="15" x14ac:dyDescent="0.2">
      <c r="A56" s="564" t="str">
        <f>'Variante Vorgaben'!C15</f>
        <v>Klasse II</v>
      </c>
      <c r="B56" s="566">
        <f>'Variante Ertragsphase'!F82</f>
        <v>0.55967389176052751</v>
      </c>
      <c r="C56" s="480"/>
    </row>
    <row r="58" spans="1:5" x14ac:dyDescent="0.2">
      <c r="C58" s="104"/>
      <c r="D58" s="104"/>
      <c r="E58" s="105"/>
    </row>
    <row r="67" spans="5:5" x14ac:dyDescent="0.2">
      <c r="E67" s="435"/>
    </row>
  </sheetData>
  <phoneticPr fontId="24" type="noConversion"/>
  <printOptions gridLines="1" gridLinesSet="0"/>
  <pageMargins left="0.78740157480314965" right="0.78740157480314965" top="0.59055118110236227" bottom="0.59055118110236227" header="0.51181102362204722" footer="0.51181102362204722"/>
  <pageSetup paperSize="9" scale="60" orientation="portrait" r:id="rId1"/>
  <headerFooter alignWithMargins="0">
    <oddFooter>&amp;L&amp;6&amp;F&amp;C&amp;6&amp;A  &amp;D&amp;R&amp;6Kontakt: patrik.mouron@faw.admin.ch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tandardVorgaben">
    <tabColor rgb="FF000080"/>
  </sheetPr>
  <dimension ref="A1:N178"/>
  <sheetViews>
    <sheetView zoomScale="80" zoomScaleNormal="80" workbookViewId="0">
      <selection activeCell="D169" sqref="D169"/>
    </sheetView>
  </sheetViews>
  <sheetFormatPr baseColWidth="10" defaultRowHeight="12.75" x14ac:dyDescent="0.2"/>
  <cols>
    <col min="1" max="1" width="31.7109375" customWidth="1"/>
    <col min="2" max="2" width="33.7109375" customWidth="1"/>
    <col min="3" max="3" width="17" style="137" customWidth="1"/>
    <col min="4" max="4" width="17" style="12" customWidth="1"/>
    <col min="5" max="5" width="20.5703125" style="12" customWidth="1"/>
    <col min="6" max="6" width="16.7109375" style="12" customWidth="1"/>
    <col min="7" max="7" width="15.7109375" customWidth="1"/>
    <col min="8" max="8" width="15.5703125" customWidth="1"/>
    <col min="9" max="9" width="13.7109375" customWidth="1"/>
    <col min="12" max="12" width="14.28515625" customWidth="1"/>
  </cols>
  <sheetData>
    <row r="1" spans="1:9" ht="44.25" customHeight="1" x14ac:dyDescent="0.35">
      <c r="A1" s="1036" t="s">
        <v>605</v>
      </c>
      <c r="B1" s="446" t="str">
        <f>B9</f>
        <v>Tafelbirnen</v>
      </c>
      <c r="C1" s="447"/>
      <c r="D1" s="448"/>
      <c r="E1" s="449"/>
      <c r="F1" s="450"/>
      <c r="G1" s="451"/>
      <c r="H1" s="452"/>
      <c r="I1" s="452"/>
    </row>
    <row r="2" spans="1:9" s="1" customFormat="1" ht="26.25" customHeight="1" x14ac:dyDescent="0.3">
      <c r="A2" s="870" t="s">
        <v>174</v>
      </c>
      <c r="B2" s="1266"/>
      <c r="C2" s="1267"/>
      <c r="D2" s="1267"/>
      <c r="E2" s="1267"/>
      <c r="F2" s="1267"/>
      <c r="G2" s="453"/>
      <c r="H2" s="452"/>
      <c r="I2" s="452"/>
    </row>
    <row r="3" spans="1:9" s="1" customFormat="1" ht="54" customHeight="1" x14ac:dyDescent="0.2">
      <c r="A3" s="455" t="s">
        <v>177</v>
      </c>
      <c r="B3" s="1273" t="s">
        <v>380</v>
      </c>
      <c r="C3" s="1274"/>
      <c r="D3" s="1274"/>
      <c r="E3" s="1274"/>
      <c r="F3" s="1274"/>
      <c r="G3" s="1274"/>
      <c r="H3" s="1272"/>
      <c r="I3" s="1272"/>
    </row>
    <row r="4" spans="1:9" s="1" customFormat="1" ht="19.5" customHeight="1" x14ac:dyDescent="0.2">
      <c r="A4" s="455"/>
      <c r="B4" s="860"/>
      <c r="C4" s="861"/>
      <c r="D4" s="861"/>
      <c r="E4" s="861"/>
      <c r="F4" s="861"/>
      <c r="G4" s="861"/>
      <c r="H4" s="452"/>
      <c r="I4" s="452"/>
    </row>
    <row r="5" spans="1:9" s="1" customFormat="1" ht="34.5" customHeight="1" x14ac:dyDescent="0.4">
      <c r="A5" s="1285" t="s">
        <v>381</v>
      </c>
      <c r="B5" s="1285"/>
      <c r="C5" s="1289" t="s">
        <v>586</v>
      </c>
      <c r="D5" s="1287"/>
      <c r="E5" s="1287"/>
      <c r="F5" s="1287"/>
      <c r="G5" s="1287"/>
      <c r="H5" s="445"/>
      <c r="I5" s="445"/>
    </row>
    <row r="6" spans="1:9" x14ac:dyDescent="0.2">
      <c r="B6" s="46"/>
      <c r="C6" s="142"/>
      <c r="H6" s="248" t="s">
        <v>110</v>
      </c>
    </row>
    <row r="7" spans="1:9" s="1" customFormat="1" ht="6" customHeight="1" x14ac:dyDescent="0.2">
      <c r="A7" s="216"/>
      <c r="C7" s="142"/>
      <c r="D7" s="46"/>
      <c r="E7" s="46"/>
      <c r="F7" s="46"/>
    </row>
    <row r="8" spans="1:9" ht="26.25" x14ac:dyDescent="0.4">
      <c r="A8" s="439" t="s">
        <v>130</v>
      </c>
      <c r="B8" s="440"/>
      <c r="C8" s="441"/>
      <c r="D8" s="442"/>
      <c r="E8" s="443"/>
      <c r="F8" s="442"/>
      <c r="G8" s="444"/>
      <c r="H8" s="437"/>
      <c r="I8" s="437"/>
    </row>
    <row r="9" spans="1:9" s="1" customFormat="1" ht="15.75" x14ac:dyDescent="0.25">
      <c r="A9" s="2" t="s">
        <v>132</v>
      </c>
      <c r="B9" s="253" t="s">
        <v>358</v>
      </c>
      <c r="C9" s="196"/>
      <c r="D9" s="23"/>
      <c r="E9" s="23"/>
      <c r="F9" s="23"/>
      <c r="G9" s="23"/>
    </row>
    <row r="10" spans="1:9" s="1" customFormat="1" ht="15.75" x14ac:dyDescent="0.25">
      <c r="A10" s="2" t="s">
        <v>182</v>
      </c>
      <c r="B10" s="254" t="s">
        <v>359</v>
      </c>
      <c r="D10" s="23"/>
      <c r="E10" s="23"/>
      <c r="F10" s="23"/>
      <c r="G10" s="23"/>
    </row>
    <row r="11" spans="1:9" s="1" customFormat="1" ht="15.75" x14ac:dyDescent="0.25">
      <c r="A11" s="2" t="s">
        <v>133</v>
      </c>
      <c r="B11" s="254" t="s">
        <v>412</v>
      </c>
      <c r="C11" s="23"/>
      <c r="D11" s="23"/>
      <c r="E11" s="23"/>
      <c r="F11" s="23"/>
      <c r="G11" s="23"/>
    </row>
    <row r="12" spans="1:9" s="1" customFormat="1" ht="19.5" customHeight="1" x14ac:dyDescent="0.25">
      <c r="A12" s="2" t="s">
        <v>7</v>
      </c>
      <c r="B12" s="456">
        <f>B26</f>
        <v>2000</v>
      </c>
      <c r="C12" s="23" t="s">
        <v>203</v>
      </c>
      <c r="D12" s="190"/>
      <c r="E12" s="54"/>
    </row>
    <row r="13" spans="1:9" s="1" customFormat="1" ht="20.25" customHeight="1" x14ac:dyDescent="0.25">
      <c r="A13" s="2" t="s">
        <v>134</v>
      </c>
      <c r="B13" s="254" t="s">
        <v>3</v>
      </c>
    </row>
    <row r="14" spans="1:9" s="1" customFormat="1" ht="20.25" customHeight="1" x14ac:dyDescent="0.3">
      <c r="A14" s="2" t="s">
        <v>238</v>
      </c>
      <c r="B14" s="1275" t="s">
        <v>604</v>
      </c>
      <c r="C14" s="1275"/>
      <c r="D14" s="1275"/>
      <c r="E14" s="1275"/>
      <c r="F14" s="1275"/>
      <c r="G14" s="1275"/>
      <c r="H14" s="1275"/>
    </row>
    <row r="15" spans="1:9" ht="15.75" x14ac:dyDescent="0.25">
      <c r="A15" s="2" t="s">
        <v>204</v>
      </c>
      <c r="B15" s="106" t="s">
        <v>205</v>
      </c>
      <c r="C15" s="272"/>
      <c r="D15" s="52"/>
      <c r="E15" s="23"/>
      <c r="F15" s="193"/>
      <c r="G15" s="23"/>
    </row>
    <row r="16" spans="1:9" ht="26.25" x14ac:dyDescent="0.25">
      <c r="A16" s="2" t="s">
        <v>194</v>
      </c>
      <c r="B16" s="256" t="s">
        <v>227</v>
      </c>
      <c r="C16" s="282" t="s">
        <v>228</v>
      </c>
      <c r="D16" s="322" t="s">
        <v>249</v>
      </c>
      <c r="E16" s="320" t="s">
        <v>248</v>
      </c>
      <c r="F16" s="1026" t="s">
        <v>470</v>
      </c>
    </row>
    <row r="17" spans="1:7" ht="13.5" thickBot="1" x14ac:dyDescent="0.25">
      <c r="A17" s="1"/>
      <c r="B17" s="1"/>
      <c r="C17" s="23"/>
      <c r="D17" s="52"/>
      <c r="E17" s="23"/>
      <c r="F17" s="194"/>
      <c r="G17" s="23"/>
    </row>
    <row r="18" spans="1:7" s="1" customFormat="1" ht="16.5" thickBot="1" x14ac:dyDescent="0.3">
      <c r="A18" s="527" t="s">
        <v>135</v>
      </c>
      <c r="B18" s="531"/>
      <c r="C18" s="531"/>
      <c r="D18" s="205"/>
      <c r="E18" s="46"/>
      <c r="F18" s="46"/>
    </row>
    <row r="19" spans="1:7" s="1" customFormat="1" x14ac:dyDescent="0.2">
      <c r="A19" s="289"/>
      <c r="B19" s="262" t="s">
        <v>179</v>
      </c>
      <c r="C19" s="285" t="s">
        <v>180</v>
      </c>
      <c r="D19" s="205" t="s">
        <v>181</v>
      </c>
      <c r="E19" s="46"/>
      <c r="F19" s="46"/>
    </row>
    <row r="20" spans="1:7" s="1" customFormat="1" x14ac:dyDescent="0.2">
      <c r="A20" s="290" t="s">
        <v>0</v>
      </c>
      <c r="B20" s="264">
        <v>125</v>
      </c>
      <c r="C20" s="286">
        <v>120</v>
      </c>
      <c r="D20" s="460">
        <f>1-(C22/B22)</f>
        <v>9.9999999999999978E-2</v>
      </c>
      <c r="E20" s="46"/>
      <c r="F20" s="46"/>
    </row>
    <row r="21" spans="1:7" s="1" customFormat="1" x14ac:dyDescent="0.2">
      <c r="A21" s="290" t="s">
        <v>1</v>
      </c>
      <c r="B21" s="265">
        <v>80</v>
      </c>
      <c r="C21" s="287">
        <v>75</v>
      </c>
      <c r="D21" s="206"/>
      <c r="E21" s="46"/>
      <c r="F21" s="46"/>
    </row>
    <row r="22" spans="1:7" s="1" customFormat="1" ht="13.5" thickBot="1" x14ac:dyDescent="0.25">
      <c r="A22" s="291" t="s">
        <v>60</v>
      </c>
      <c r="B22" s="457">
        <f>B20*B21</f>
        <v>10000</v>
      </c>
      <c r="C22" s="458">
        <f>C20*C21</f>
        <v>9000</v>
      </c>
      <c r="D22" s="459">
        <f>B22-C22</f>
        <v>1000</v>
      </c>
      <c r="E22" s="46"/>
      <c r="F22" s="46"/>
    </row>
    <row r="23" spans="1:7" s="1" customFormat="1" x14ac:dyDescent="0.2">
      <c r="A23" s="292" t="s">
        <v>4</v>
      </c>
      <c r="B23" s="126"/>
      <c r="C23" s="288">
        <v>3.3</v>
      </c>
      <c r="D23" s="263"/>
      <c r="E23" s="46"/>
      <c r="F23" s="46"/>
    </row>
    <row r="24" spans="1:7" s="1" customFormat="1" x14ac:dyDescent="0.2">
      <c r="A24" s="292" t="s">
        <v>5</v>
      </c>
      <c r="B24" s="126"/>
      <c r="C24" s="1208">
        <v>1.45</v>
      </c>
      <c r="D24" s="263"/>
      <c r="E24" s="46"/>
      <c r="F24" s="46"/>
    </row>
    <row r="25" spans="1:7" s="1" customFormat="1" x14ac:dyDescent="0.2">
      <c r="A25" s="292" t="s">
        <v>6</v>
      </c>
      <c r="B25" s="126"/>
      <c r="C25" s="461">
        <f>ROUND((C21/C23),0)</f>
        <v>23</v>
      </c>
      <c r="D25" s="204"/>
      <c r="E25" s="46"/>
      <c r="F25" s="46"/>
    </row>
    <row r="26" spans="1:7" s="1" customFormat="1" ht="16.5" thickBot="1" x14ac:dyDescent="0.3">
      <c r="A26" s="293" t="s">
        <v>129</v>
      </c>
      <c r="B26" s="284">
        <v>2000</v>
      </c>
      <c r="C26" s="462">
        <f>ROUND(((C20/C24)+1),0)*ROUND(C25,0)</f>
        <v>1932</v>
      </c>
      <c r="D26" s="207"/>
      <c r="E26" s="46"/>
      <c r="F26" s="46"/>
    </row>
    <row r="27" spans="1:7" s="1" customFormat="1" x14ac:dyDescent="0.2">
      <c r="C27" s="23"/>
      <c r="D27" s="46"/>
      <c r="E27" s="46"/>
      <c r="F27" s="46"/>
    </row>
    <row r="28" spans="1:7" s="1" customFormat="1" x14ac:dyDescent="0.2">
      <c r="A28" s="463" t="s">
        <v>79</v>
      </c>
      <c r="B28" s="266">
        <v>20</v>
      </c>
      <c r="C28" s="23"/>
      <c r="D28" s="46"/>
      <c r="E28" s="46"/>
      <c r="F28" s="46"/>
    </row>
    <row r="29" spans="1:7" s="1" customFormat="1" x14ac:dyDescent="0.2">
      <c r="A29" s="464" t="s">
        <v>74</v>
      </c>
      <c r="B29" s="267">
        <v>5</v>
      </c>
      <c r="C29" s="23"/>
      <c r="D29" s="46"/>
      <c r="E29" s="46"/>
      <c r="F29" s="46"/>
    </row>
    <row r="30" spans="1:7" s="1" customFormat="1" x14ac:dyDescent="0.2">
      <c r="A30" s="464" t="s">
        <v>80</v>
      </c>
      <c r="B30" s="476">
        <f>B28-B29</f>
        <v>15</v>
      </c>
      <c r="C30" s="23"/>
      <c r="D30" s="46"/>
      <c r="E30" s="46"/>
      <c r="F30" s="46"/>
    </row>
    <row r="31" spans="1:7" s="1" customFormat="1" ht="15.75" x14ac:dyDescent="0.25">
      <c r="A31" s="465" t="s">
        <v>206</v>
      </c>
      <c r="B31" s="477">
        <f>B30</f>
        <v>15</v>
      </c>
      <c r="C31" s="23"/>
      <c r="D31" s="46"/>
      <c r="E31" s="46"/>
      <c r="F31" s="46"/>
    </row>
    <row r="32" spans="1:7" s="1" customFormat="1" x14ac:dyDescent="0.2">
      <c r="C32" s="23"/>
      <c r="D32" s="46"/>
      <c r="E32" s="46"/>
      <c r="F32" s="46"/>
    </row>
    <row r="33" spans="1:14" s="1" customFormat="1" x14ac:dyDescent="0.2">
      <c r="A33" s="3" t="s">
        <v>8</v>
      </c>
      <c r="B33" s="99" t="s">
        <v>127</v>
      </c>
      <c r="C33" s="255">
        <v>10</v>
      </c>
      <c r="D33" s="106" t="s">
        <v>420</v>
      </c>
    </row>
    <row r="34" spans="1:14" s="1" customFormat="1" x14ac:dyDescent="0.2">
      <c r="A34" s="3" t="s">
        <v>85</v>
      </c>
      <c r="B34" s="99" t="s">
        <v>413</v>
      </c>
      <c r="C34" s="256">
        <v>41.4</v>
      </c>
      <c r="D34" s="106"/>
    </row>
    <row r="35" spans="1:14" s="1" customFormat="1" ht="12.75" customHeight="1" x14ac:dyDescent="0.25">
      <c r="B35" t="s">
        <v>116</v>
      </c>
      <c r="C35" s="256">
        <v>24</v>
      </c>
      <c r="D35"/>
      <c r="E35"/>
      <c r="F35"/>
      <c r="M35" s="188"/>
    </row>
    <row r="36" spans="1:14" s="1" customFormat="1" ht="12.75" customHeight="1" thickBot="1" x14ac:dyDescent="0.25">
      <c r="B36" s="1" t="s">
        <v>128</v>
      </c>
      <c r="C36" s="467">
        <v>21.5</v>
      </c>
      <c r="D36" s="187" t="s">
        <v>201</v>
      </c>
      <c r="F36" s="257">
        <v>0.85</v>
      </c>
      <c r="G36" s="222"/>
      <c r="N36" s="17"/>
    </row>
    <row r="37" spans="1:14" s="1" customFormat="1" ht="12.75" customHeight="1" x14ac:dyDescent="0.2">
      <c r="B37" s="1" t="s">
        <v>414</v>
      </c>
      <c r="C37" s="846">
        <f>(F36*C36)+(((1-F36)/2)*C35)+ (((1-F36)/2)*C34)</f>
        <v>23.18</v>
      </c>
      <c r="D37" s="12"/>
      <c r="E37" s="46"/>
      <c r="F37" s="46"/>
      <c r="N37" s="17"/>
    </row>
    <row r="38" spans="1:14" s="1" customFormat="1" ht="12.75" customHeight="1" x14ac:dyDescent="0.2">
      <c r="B38" s="1" t="s">
        <v>415</v>
      </c>
      <c r="C38" s="846">
        <f>AVERAGE(C34:C35)</f>
        <v>32.700000000000003</v>
      </c>
      <c r="D38" s="12"/>
      <c r="E38" s="46"/>
      <c r="F38" s="46"/>
      <c r="N38" s="17"/>
    </row>
    <row r="39" spans="1:14" s="1" customFormat="1" x14ac:dyDescent="0.2">
      <c r="B39"/>
      <c r="C39" s="142"/>
      <c r="D39" s="12"/>
      <c r="E39" s="46"/>
      <c r="F39" s="46"/>
      <c r="N39" s="17"/>
    </row>
    <row r="40" spans="1:14" s="1" customFormat="1" x14ac:dyDescent="0.2">
      <c r="A40" s="125" t="s">
        <v>131</v>
      </c>
      <c r="C40" s="258">
        <v>6000</v>
      </c>
      <c r="E40" s="106" t="s">
        <v>474</v>
      </c>
      <c r="F40" s="468" t="s">
        <v>237</v>
      </c>
      <c r="G40" s="1024">
        <v>325</v>
      </c>
      <c r="M40" s="23"/>
      <c r="N40" s="17"/>
    </row>
    <row r="41" spans="1:14" s="1" customFormat="1" x14ac:dyDescent="0.2">
      <c r="A41" s="52" t="s">
        <v>83</v>
      </c>
      <c r="C41" s="866">
        <v>1100</v>
      </c>
      <c r="F41" s="1" t="str">
        <f>D16</f>
        <v>Mostobst total</v>
      </c>
      <c r="G41" s="261">
        <v>1</v>
      </c>
      <c r="M41"/>
      <c r="N41" s="17"/>
    </row>
    <row r="42" spans="1:14" s="1" customFormat="1" x14ac:dyDescent="0.2">
      <c r="A42" s="52" t="s">
        <v>10</v>
      </c>
      <c r="C42" s="259">
        <v>1.4999999999999999E-2</v>
      </c>
      <c r="N42" s="17"/>
    </row>
    <row r="43" spans="1:14" ht="15.6" customHeight="1" x14ac:dyDescent="0.2">
      <c r="A43" s="1" t="s">
        <v>163</v>
      </c>
      <c r="C43" s="175">
        <v>0.6</v>
      </c>
      <c r="E43" s="466" t="s">
        <v>84</v>
      </c>
      <c r="F43" s="468" t="str">
        <f>F40</f>
        <v>Klasse I+II</v>
      </c>
      <c r="G43" s="261">
        <v>0</v>
      </c>
    </row>
    <row r="44" spans="1:14" ht="14.1" customHeight="1" x14ac:dyDescent="0.4">
      <c r="A44" s="336" t="s">
        <v>156</v>
      </c>
      <c r="C44" s="260">
        <v>660</v>
      </c>
      <c r="E44" s="873" t="s">
        <v>236</v>
      </c>
      <c r="F44" s="469" t="str">
        <f>F40</f>
        <v>Klasse I+II</v>
      </c>
      <c r="G44" s="313">
        <v>0</v>
      </c>
      <c r="H44" s="431"/>
    </row>
    <row r="45" spans="1:14" x14ac:dyDescent="0.2">
      <c r="A45" s="64"/>
      <c r="C45" s="225"/>
      <c r="F45" s="187" t="s">
        <v>245</v>
      </c>
      <c r="G45" s="313">
        <v>0</v>
      </c>
    </row>
    <row r="46" spans="1:14" s="1" customFormat="1" ht="26.25" x14ac:dyDescent="0.4">
      <c r="A46" s="439" t="s">
        <v>149</v>
      </c>
      <c r="B46" s="470"/>
      <c r="C46" s="471"/>
      <c r="D46" s="472"/>
      <c r="E46" s="473"/>
      <c r="F46" s="474"/>
      <c r="G46" s="475"/>
      <c r="H46" s="437"/>
      <c r="I46" s="437"/>
      <c r="M46" s="23"/>
      <c r="N46" s="17"/>
    </row>
    <row r="47" spans="1:14" s="1" customFormat="1" x14ac:dyDescent="0.2">
      <c r="A47" s="112" t="s">
        <v>150</v>
      </c>
      <c r="B47" s="310" t="str">
        <f>B16</f>
        <v>Klasse I</v>
      </c>
      <c r="C47" s="122" t="str">
        <f>C16</f>
        <v>Klasse II</v>
      </c>
      <c r="D47" s="49" t="str">
        <f>D16</f>
        <v>Mostobst total</v>
      </c>
      <c r="E47" s="112" t="s">
        <v>36</v>
      </c>
      <c r="F47" s="112" t="s">
        <v>37</v>
      </c>
      <c r="G47" s="112" t="s">
        <v>150</v>
      </c>
      <c r="M47" s="23"/>
      <c r="N47" s="17"/>
    </row>
    <row r="48" spans="1:14" s="1" customFormat="1" x14ac:dyDescent="0.2">
      <c r="A48" s="237">
        <v>1</v>
      </c>
      <c r="B48" s="89">
        <v>1.22</v>
      </c>
      <c r="C48" s="63">
        <v>0.4</v>
      </c>
      <c r="D48" s="65">
        <v>0</v>
      </c>
      <c r="E48" s="1197">
        <v>0</v>
      </c>
      <c r="F48" s="47">
        <f>E48/'Standard Vorgaben'!$B$26</f>
        <v>0</v>
      </c>
      <c r="G48" s="157">
        <v>1</v>
      </c>
      <c r="M48" s="23"/>
      <c r="N48" s="17"/>
    </row>
    <row r="49" spans="1:14" s="1" customFormat="1" x14ac:dyDescent="0.2">
      <c r="A49" s="237">
        <v>2</v>
      </c>
      <c r="B49" s="62">
        <f t="shared" ref="B49:C61" si="0">B48</f>
        <v>1.22</v>
      </c>
      <c r="C49" s="62">
        <f t="shared" si="0"/>
        <v>0.4</v>
      </c>
      <c r="D49" s="46">
        <f>$D$48</f>
        <v>0</v>
      </c>
      <c r="E49" s="1197">
        <v>3000</v>
      </c>
      <c r="F49" s="47">
        <f>E49/'Standard Vorgaben'!$B$26</f>
        <v>1.5</v>
      </c>
      <c r="G49" s="157">
        <v>2</v>
      </c>
      <c r="M49" s="23"/>
      <c r="N49" s="17"/>
    </row>
    <row r="50" spans="1:14" s="1" customFormat="1" x14ac:dyDescent="0.2">
      <c r="A50" s="237">
        <v>3</v>
      </c>
      <c r="B50" s="62">
        <f t="shared" si="0"/>
        <v>1.22</v>
      </c>
      <c r="C50" s="62">
        <f t="shared" si="0"/>
        <v>0.4</v>
      </c>
      <c r="D50" s="46">
        <f t="shared" ref="D50:D67" si="1">$D$48</f>
        <v>0</v>
      </c>
      <c r="E50" s="1197">
        <v>5000</v>
      </c>
      <c r="F50" s="47">
        <f>E50/'Standard Vorgaben'!$B$26</f>
        <v>2.5</v>
      </c>
      <c r="G50" s="157">
        <v>3</v>
      </c>
      <c r="M50" s="23"/>
      <c r="N50" s="17"/>
    </row>
    <row r="51" spans="1:14" s="1" customFormat="1" x14ac:dyDescent="0.2">
      <c r="A51" s="311">
        <v>4</v>
      </c>
      <c r="B51" s="62">
        <f t="shared" si="0"/>
        <v>1.22</v>
      </c>
      <c r="C51" s="62">
        <f t="shared" si="0"/>
        <v>0.4</v>
      </c>
      <c r="D51" s="46">
        <f t="shared" si="1"/>
        <v>0</v>
      </c>
      <c r="E51" s="1197">
        <v>10000</v>
      </c>
      <c r="F51" s="47">
        <f>E51/'Standard Vorgaben'!$B$26</f>
        <v>5</v>
      </c>
      <c r="G51" s="157">
        <v>4</v>
      </c>
      <c r="M51" s="23"/>
      <c r="N51" s="17"/>
    </row>
    <row r="52" spans="1:14" s="1" customFormat="1" x14ac:dyDescent="0.2">
      <c r="A52" s="311">
        <v>5</v>
      </c>
      <c r="B52" s="62">
        <f t="shared" si="0"/>
        <v>1.22</v>
      </c>
      <c r="C52" s="62">
        <f t="shared" si="0"/>
        <v>0.4</v>
      </c>
      <c r="D52" s="46">
        <f t="shared" si="1"/>
        <v>0</v>
      </c>
      <c r="E52" s="1197">
        <v>20000</v>
      </c>
      <c r="F52" s="47">
        <f>E52/'Standard Vorgaben'!$B$26</f>
        <v>10</v>
      </c>
      <c r="G52" s="157">
        <v>5</v>
      </c>
      <c r="M52" s="23"/>
      <c r="N52" s="17"/>
    </row>
    <row r="53" spans="1:14" s="1" customFormat="1" x14ac:dyDescent="0.2">
      <c r="A53" s="311">
        <v>6</v>
      </c>
      <c r="B53" s="62">
        <f t="shared" si="0"/>
        <v>1.22</v>
      </c>
      <c r="C53" s="62">
        <f t="shared" si="0"/>
        <v>0.4</v>
      </c>
      <c r="D53" s="46">
        <f t="shared" si="1"/>
        <v>0</v>
      </c>
      <c r="E53" s="98">
        <v>32000</v>
      </c>
      <c r="F53" s="47">
        <f>E53/'Standard Vorgaben'!$B$26</f>
        <v>16</v>
      </c>
      <c r="G53" s="157">
        <v>6</v>
      </c>
      <c r="M53" s="23"/>
      <c r="N53" s="17"/>
    </row>
    <row r="54" spans="1:14" s="1" customFormat="1" x14ac:dyDescent="0.2">
      <c r="A54" s="311">
        <v>7</v>
      </c>
      <c r="B54" s="62">
        <f t="shared" si="0"/>
        <v>1.22</v>
      </c>
      <c r="C54" s="62">
        <f t="shared" si="0"/>
        <v>0.4</v>
      </c>
      <c r="D54" s="46">
        <f t="shared" si="1"/>
        <v>0</v>
      </c>
      <c r="E54" s="98">
        <v>32000</v>
      </c>
      <c r="F54" s="47">
        <f>E54/'Standard Vorgaben'!$B$26</f>
        <v>16</v>
      </c>
      <c r="G54" s="157">
        <v>7</v>
      </c>
      <c r="M54" s="23"/>
      <c r="N54" s="17"/>
    </row>
    <row r="55" spans="1:14" s="1" customFormat="1" x14ac:dyDescent="0.2">
      <c r="A55" s="311">
        <v>8</v>
      </c>
      <c r="B55" s="62">
        <f t="shared" si="0"/>
        <v>1.22</v>
      </c>
      <c r="C55" s="62">
        <f t="shared" si="0"/>
        <v>0.4</v>
      </c>
      <c r="D55" s="46">
        <f t="shared" si="1"/>
        <v>0</v>
      </c>
      <c r="E55" s="98">
        <v>32000</v>
      </c>
      <c r="F55" s="47">
        <f>E55/'Standard Vorgaben'!$B$26</f>
        <v>16</v>
      </c>
      <c r="G55" s="157">
        <v>8</v>
      </c>
      <c r="M55" s="23"/>
      <c r="N55" s="17"/>
    </row>
    <row r="56" spans="1:14" s="1" customFormat="1" x14ac:dyDescent="0.2">
      <c r="A56" s="311">
        <v>9</v>
      </c>
      <c r="B56" s="62">
        <f t="shared" si="0"/>
        <v>1.22</v>
      </c>
      <c r="C56" s="62">
        <f t="shared" si="0"/>
        <v>0.4</v>
      </c>
      <c r="D56" s="46">
        <f t="shared" si="1"/>
        <v>0</v>
      </c>
      <c r="E56" s="98">
        <v>32000</v>
      </c>
      <c r="F56" s="47">
        <f>E56/'Standard Vorgaben'!$B$26</f>
        <v>16</v>
      </c>
      <c r="G56" s="157">
        <v>9</v>
      </c>
      <c r="M56" s="23"/>
      <c r="N56" s="17"/>
    </row>
    <row r="57" spans="1:14" s="1" customFormat="1" x14ac:dyDescent="0.2">
      <c r="A57" s="311">
        <v>10</v>
      </c>
      <c r="B57" s="62">
        <f t="shared" si="0"/>
        <v>1.22</v>
      </c>
      <c r="C57" s="62">
        <f t="shared" si="0"/>
        <v>0.4</v>
      </c>
      <c r="D57" s="46">
        <f t="shared" si="1"/>
        <v>0</v>
      </c>
      <c r="E57" s="98">
        <v>32000</v>
      </c>
      <c r="F57" s="47">
        <f>E57/'Standard Vorgaben'!$B$26</f>
        <v>16</v>
      </c>
      <c r="G57" s="157">
        <v>10</v>
      </c>
      <c r="M57" s="23"/>
      <c r="N57" s="17"/>
    </row>
    <row r="58" spans="1:14" s="1" customFormat="1" x14ac:dyDescent="0.2">
      <c r="A58" s="311">
        <v>11</v>
      </c>
      <c r="B58" s="62">
        <f t="shared" si="0"/>
        <v>1.22</v>
      </c>
      <c r="C58" s="62">
        <f t="shared" si="0"/>
        <v>0.4</v>
      </c>
      <c r="D58" s="46">
        <f t="shared" si="1"/>
        <v>0</v>
      </c>
      <c r="E58" s="98">
        <v>32000</v>
      </c>
      <c r="F58" s="47">
        <f>E58/'Standard Vorgaben'!$B$26</f>
        <v>16</v>
      </c>
      <c r="G58" s="157">
        <v>11</v>
      </c>
      <c r="M58" s="23"/>
      <c r="N58" s="17"/>
    </row>
    <row r="59" spans="1:14" s="1" customFormat="1" x14ac:dyDescent="0.2">
      <c r="A59" s="311">
        <v>12</v>
      </c>
      <c r="B59" s="62">
        <f t="shared" si="0"/>
        <v>1.22</v>
      </c>
      <c r="C59" s="62">
        <f t="shared" si="0"/>
        <v>0.4</v>
      </c>
      <c r="D59" s="46">
        <f t="shared" si="1"/>
        <v>0</v>
      </c>
      <c r="E59" s="98">
        <v>32000</v>
      </c>
      <c r="F59" s="47">
        <f>E59/'Standard Vorgaben'!$B$26</f>
        <v>16</v>
      </c>
      <c r="G59" s="157">
        <v>12</v>
      </c>
      <c r="M59" s="23"/>
      <c r="N59" s="17"/>
    </row>
    <row r="60" spans="1:14" s="1" customFormat="1" x14ac:dyDescent="0.2">
      <c r="A60" s="311">
        <v>13</v>
      </c>
      <c r="B60" s="62">
        <f t="shared" si="0"/>
        <v>1.22</v>
      </c>
      <c r="C60" s="62">
        <f t="shared" si="0"/>
        <v>0.4</v>
      </c>
      <c r="D60" s="46">
        <f t="shared" si="1"/>
        <v>0</v>
      </c>
      <c r="E60" s="98">
        <v>32000</v>
      </c>
      <c r="F60" s="47">
        <f>E60/'Standard Vorgaben'!$B$26</f>
        <v>16</v>
      </c>
      <c r="G60" s="157">
        <v>13</v>
      </c>
      <c r="M60" s="23"/>
      <c r="N60" s="17"/>
    </row>
    <row r="61" spans="1:14" s="1" customFormat="1" x14ac:dyDescent="0.2">
      <c r="A61" s="311">
        <v>14</v>
      </c>
      <c r="B61" s="62">
        <f t="shared" si="0"/>
        <v>1.22</v>
      </c>
      <c r="C61" s="62">
        <f t="shared" si="0"/>
        <v>0.4</v>
      </c>
      <c r="D61" s="46">
        <f t="shared" si="1"/>
        <v>0</v>
      </c>
      <c r="E61" s="98">
        <v>32000</v>
      </c>
      <c r="F61" s="47">
        <f>E61/'Standard Vorgaben'!$B$26</f>
        <v>16</v>
      </c>
      <c r="G61" s="157">
        <v>14</v>
      </c>
      <c r="M61" s="23"/>
      <c r="N61" s="17"/>
    </row>
    <row r="62" spans="1:14" s="1" customFormat="1" x14ac:dyDescent="0.2">
      <c r="A62" s="311">
        <v>15</v>
      </c>
      <c r="B62" s="62">
        <f t="shared" ref="B62:C67" si="2">B61</f>
        <v>1.22</v>
      </c>
      <c r="C62" s="62">
        <f t="shared" si="2"/>
        <v>0.4</v>
      </c>
      <c r="D62" s="46">
        <f t="shared" si="1"/>
        <v>0</v>
      </c>
      <c r="E62" s="98">
        <v>32000</v>
      </c>
      <c r="F62" s="47">
        <f>E62/'Standard Vorgaben'!$B$26</f>
        <v>16</v>
      </c>
      <c r="G62" s="157">
        <v>15</v>
      </c>
      <c r="M62" s="23"/>
      <c r="N62" s="17"/>
    </row>
    <row r="63" spans="1:14" s="1" customFormat="1" x14ac:dyDescent="0.2">
      <c r="A63" s="311">
        <v>16</v>
      </c>
      <c r="B63" s="62">
        <f t="shared" si="2"/>
        <v>1.22</v>
      </c>
      <c r="C63" s="62">
        <f t="shared" si="2"/>
        <v>0.4</v>
      </c>
      <c r="D63" s="46">
        <f t="shared" si="1"/>
        <v>0</v>
      </c>
      <c r="E63" s="98">
        <v>32000</v>
      </c>
      <c r="F63" s="47">
        <f>E63/'Standard Vorgaben'!$B$26</f>
        <v>16</v>
      </c>
      <c r="G63" s="157">
        <v>16</v>
      </c>
      <c r="M63" s="23"/>
      <c r="N63" s="17"/>
    </row>
    <row r="64" spans="1:14" s="1" customFormat="1" x14ac:dyDescent="0.2">
      <c r="A64" s="311">
        <v>17</v>
      </c>
      <c r="B64" s="62">
        <f t="shared" si="2"/>
        <v>1.22</v>
      </c>
      <c r="C64" s="62">
        <f t="shared" si="2"/>
        <v>0.4</v>
      </c>
      <c r="D64" s="46">
        <f t="shared" si="1"/>
        <v>0</v>
      </c>
      <c r="E64" s="98">
        <v>32000</v>
      </c>
      <c r="F64" s="47">
        <f>E64/'Standard Vorgaben'!$B$26</f>
        <v>16</v>
      </c>
      <c r="G64" s="157">
        <v>17</v>
      </c>
      <c r="M64" s="23"/>
      <c r="N64" s="17"/>
    </row>
    <row r="65" spans="1:14" s="1" customFormat="1" x14ac:dyDescent="0.2">
      <c r="A65" s="311">
        <v>18</v>
      </c>
      <c r="B65" s="62">
        <f t="shared" si="2"/>
        <v>1.22</v>
      </c>
      <c r="C65" s="62">
        <f t="shared" si="2"/>
        <v>0.4</v>
      </c>
      <c r="D65" s="46">
        <f t="shared" si="1"/>
        <v>0</v>
      </c>
      <c r="E65" s="98">
        <v>32000</v>
      </c>
      <c r="F65" s="47">
        <f>E65/'Standard Vorgaben'!$B$26</f>
        <v>16</v>
      </c>
      <c r="G65" s="157">
        <v>18</v>
      </c>
      <c r="M65" s="23"/>
      <c r="N65" s="17"/>
    </row>
    <row r="66" spans="1:14" s="1" customFormat="1" x14ac:dyDescent="0.2">
      <c r="A66" s="311">
        <v>19</v>
      </c>
      <c r="B66" s="62">
        <f t="shared" si="2"/>
        <v>1.22</v>
      </c>
      <c r="C66" s="62">
        <f t="shared" si="2"/>
        <v>0.4</v>
      </c>
      <c r="D66" s="46">
        <f t="shared" si="1"/>
        <v>0</v>
      </c>
      <c r="E66" s="98">
        <v>32000</v>
      </c>
      <c r="F66" s="47">
        <f>E66/'Standard Vorgaben'!$B$26</f>
        <v>16</v>
      </c>
      <c r="G66" s="157">
        <v>19</v>
      </c>
      <c r="M66" s="23"/>
      <c r="N66" s="17"/>
    </row>
    <row r="67" spans="1:14" s="1" customFormat="1" x14ac:dyDescent="0.2">
      <c r="A67" s="311">
        <v>20</v>
      </c>
      <c r="B67" s="62">
        <f t="shared" si="2"/>
        <v>1.22</v>
      </c>
      <c r="C67" s="62">
        <f t="shared" si="2"/>
        <v>0.4</v>
      </c>
      <c r="D67" s="46">
        <f t="shared" si="1"/>
        <v>0</v>
      </c>
      <c r="E67" s="98">
        <v>32000</v>
      </c>
      <c r="F67" s="47">
        <f>E67/'Standard Vorgaben'!$B$26</f>
        <v>16</v>
      </c>
      <c r="G67" s="157">
        <v>20</v>
      </c>
      <c r="M67" s="23"/>
      <c r="N67" s="17"/>
    </row>
    <row r="68" spans="1:14" s="1" customFormat="1" x14ac:dyDescent="0.2">
      <c r="A68" s="70" t="s">
        <v>229</v>
      </c>
      <c r="E68" s="93">
        <f>SUM(E48:E50)</f>
        <v>8000</v>
      </c>
      <c r="F68" s="93">
        <f>SUM(F48:F50)</f>
        <v>4</v>
      </c>
      <c r="M68" s="23"/>
      <c r="N68" s="17"/>
    </row>
    <row r="69" spans="1:14" s="1" customFormat="1" x14ac:dyDescent="0.2">
      <c r="A69" s="70" t="s">
        <v>230</v>
      </c>
      <c r="E69" s="93">
        <f>SUM(E48:E67)</f>
        <v>518000</v>
      </c>
      <c r="F69" s="93">
        <f>SUM(F48:F67)</f>
        <v>259</v>
      </c>
      <c r="M69" s="23"/>
      <c r="N69" s="17"/>
    </row>
    <row r="70" spans="1:14" s="1" customFormat="1" x14ac:dyDescent="0.2">
      <c r="A70" s="70" t="s">
        <v>231</v>
      </c>
      <c r="B70" s="478">
        <f>AVERAGE(B51:B67)</f>
        <v>1.22</v>
      </c>
      <c r="C70" s="478">
        <f>AVERAGE(C51:C67)</f>
        <v>0.40000000000000008</v>
      </c>
      <c r="D70" s="478">
        <f>AVERAGE(D51:D67)</f>
        <v>0</v>
      </c>
      <c r="E70" s="93">
        <f>AVERAGE(E53:E67)</f>
        <v>32000</v>
      </c>
      <c r="F70" s="93">
        <f>AVERAGE(F51:F67)</f>
        <v>15</v>
      </c>
      <c r="M70" s="23"/>
      <c r="N70" s="17"/>
    </row>
    <row r="71" spans="1:14" s="1" customFormat="1" x14ac:dyDescent="0.2">
      <c r="A71" s="70" t="s">
        <v>232</v>
      </c>
      <c r="B71" s="478">
        <f>AVERAGE(B48:B67)</f>
        <v>1.2199999999999998</v>
      </c>
      <c r="C71" s="478">
        <f>AVERAGE(C48:C67)</f>
        <v>0.40000000000000008</v>
      </c>
      <c r="D71" s="478">
        <f>AVERAGE(D48:D67)</f>
        <v>0</v>
      </c>
      <c r="E71" s="93">
        <f>AVERAGE(E48:E67)</f>
        <v>25900</v>
      </c>
      <c r="F71" s="93">
        <f>AVERAGE(F48:F67)</f>
        <v>12.95</v>
      </c>
      <c r="G71" s="479">
        <v>0</v>
      </c>
      <c r="M71" s="23"/>
      <c r="N71" s="17"/>
    </row>
    <row r="72" spans="1:14" s="1" customFormat="1" x14ac:dyDescent="0.2">
      <c r="B72" s="108"/>
      <c r="C72" s="108"/>
      <c r="D72" s="108"/>
      <c r="E72" s="93"/>
      <c r="F72" s="109"/>
      <c r="M72" s="23"/>
      <c r="N72" s="17"/>
    </row>
    <row r="73" spans="1:14" s="1" customFormat="1" ht="25.5" customHeight="1" x14ac:dyDescent="0.4">
      <c r="A73" s="439" t="s">
        <v>148</v>
      </c>
      <c r="B73" s="470"/>
      <c r="C73" s="471"/>
      <c r="D73" s="480"/>
      <c r="E73" s="480"/>
      <c r="F73" s="474"/>
      <c r="G73" s="475"/>
      <c r="H73" s="480"/>
      <c r="I73" s="437"/>
      <c r="M73" s="23"/>
      <c r="N73" s="17"/>
    </row>
    <row r="74" spans="1:14" s="1" customFormat="1" ht="25.5" x14ac:dyDescent="0.2">
      <c r="A74" s="111" t="s">
        <v>150</v>
      </c>
      <c r="B74" s="323" t="str">
        <f>B16</f>
        <v>Klasse I</v>
      </c>
      <c r="C74" s="113" t="str">
        <f>C16</f>
        <v>Klasse II</v>
      </c>
      <c r="D74" s="538" t="str">
        <f>E16</f>
        <v>Mostobst Sortierabgang</v>
      </c>
      <c r="E74" s="539" t="str">
        <f>F16</f>
        <v>Mostobst</v>
      </c>
      <c r="F74" s="875" t="str">
        <f>D16</f>
        <v>Mostobst total</v>
      </c>
      <c r="G74" s="874" t="s">
        <v>247</v>
      </c>
      <c r="H74" s="537"/>
      <c r="I74" s="203"/>
      <c r="M74" s="23"/>
      <c r="N74" s="17"/>
    </row>
    <row r="75" spans="1:14" s="1" customFormat="1" x14ac:dyDescent="0.2">
      <c r="A75" s="70"/>
      <c r="B75" s="113"/>
      <c r="C75" s="113"/>
      <c r="D75" s="113"/>
      <c r="E75" s="113"/>
      <c r="F75" s="171"/>
      <c r="G75" s="122" t="s">
        <v>63</v>
      </c>
      <c r="H75" s="122"/>
      <c r="I75" s="238"/>
      <c r="M75" s="23"/>
      <c r="N75" s="17"/>
    </row>
    <row r="76" spans="1:14" s="1" customFormat="1" x14ac:dyDescent="0.2">
      <c r="A76" s="237">
        <v>1</v>
      </c>
      <c r="B76" s="150">
        <v>0.7</v>
      </c>
      <c r="C76" s="150">
        <v>0.05</v>
      </c>
      <c r="D76" s="150">
        <v>0.1</v>
      </c>
      <c r="E76" s="150">
        <v>0.15</v>
      </c>
      <c r="F76" s="107">
        <f>D76+E76</f>
        <v>0.25</v>
      </c>
      <c r="G76" s="243">
        <v>125</v>
      </c>
      <c r="H76" s="243"/>
      <c r="I76" s="157"/>
      <c r="M76" s="23"/>
      <c r="N76" s="17"/>
    </row>
    <row r="77" spans="1:14" s="1" customFormat="1" x14ac:dyDescent="0.2">
      <c r="A77" s="237">
        <v>2</v>
      </c>
      <c r="B77" s="90">
        <f>B76</f>
        <v>0.7</v>
      </c>
      <c r="C77" s="90">
        <f>C76</f>
        <v>0.05</v>
      </c>
      <c r="D77" s="90">
        <f>D76</f>
        <v>0.1</v>
      </c>
      <c r="E77" s="90">
        <f>E76</f>
        <v>0.15</v>
      </c>
      <c r="F77" s="307">
        <f t="shared" ref="F77:F95" si="3">$F$76</f>
        <v>0.25</v>
      </c>
      <c r="G77" s="481">
        <f>G76</f>
        <v>125</v>
      </c>
      <c r="H77" s="481"/>
      <c r="I77" s="157"/>
      <c r="M77" s="23"/>
      <c r="N77" s="17"/>
    </row>
    <row r="78" spans="1:14" s="1" customFormat="1" x14ac:dyDescent="0.2">
      <c r="A78" s="237">
        <v>3</v>
      </c>
      <c r="B78" s="90">
        <f>B76</f>
        <v>0.7</v>
      </c>
      <c r="C78" s="90">
        <f>C76</f>
        <v>0.05</v>
      </c>
      <c r="D78" s="90">
        <f>D76</f>
        <v>0.1</v>
      </c>
      <c r="E78" s="90">
        <f>E76</f>
        <v>0.15</v>
      </c>
      <c r="F78" s="307">
        <f t="shared" si="3"/>
        <v>0.25</v>
      </c>
      <c r="G78" s="481">
        <f>G76</f>
        <v>125</v>
      </c>
      <c r="H78" s="481"/>
      <c r="I78" s="157"/>
      <c r="M78" s="23"/>
      <c r="N78" s="17"/>
    </row>
    <row r="79" spans="1:14" s="1" customFormat="1" x14ac:dyDescent="0.2">
      <c r="A79" s="237">
        <v>4</v>
      </c>
      <c r="B79" s="90">
        <f>B76</f>
        <v>0.7</v>
      </c>
      <c r="C79" s="90">
        <f>C76</f>
        <v>0.05</v>
      </c>
      <c r="D79" s="90">
        <f>D76</f>
        <v>0.1</v>
      </c>
      <c r="E79" s="90">
        <f>E76</f>
        <v>0.15</v>
      </c>
      <c r="F79" s="307">
        <f t="shared" si="3"/>
        <v>0.25</v>
      </c>
      <c r="G79" s="481">
        <f>G76</f>
        <v>125</v>
      </c>
      <c r="H79" s="481"/>
      <c r="I79" s="157"/>
      <c r="M79" s="23"/>
      <c r="N79" s="17"/>
    </row>
    <row r="80" spans="1:14" s="1" customFormat="1" ht="15.75" x14ac:dyDescent="0.25">
      <c r="A80" s="64">
        <v>5</v>
      </c>
      <c r="B80" s="90">
        <f>B76</f>
        <v>0.7</v>
      </c>
      <c r="C80" s="90">
        <f>C76</f>
        <v>0.05</v>
      </c>
      <c r="D80" s="90">
        <f>D76</f>
        <v>0.1</v>
      </c>
      <c r="E80" s="90">
        <f>E76</f>
        <v>0.15</v>
      </c>
      <c r="F80" s="307">
        <f t="shared" si="3"/>
        <v>0.25</v>
      </c>
      <c r="G80" s="481">
        <f>G76</f>
        <v>125</v>
      </c>
      <c r="H80" s="481"/>
      <c r="I80" s="157"/>
      <c r="J80" s="17"/>
      <c r="K80" s="195"/>
      <c r="L80" s="100"/>
      <c r="M80" s="23"/>
      <c r="N80" s="17"/>
    </row>
    <row r="81" spans="1:14" s="1" customFormat="1" ht="15.75" x14ac:dyDescent="0.25">
      <c r="A81" s="64">
        <v>6</v>
      </c>
      <c r="B81" s="90">
        <f>B76</f>
        <v>0.7</v>
      </c>
      <c r="C81" s="90">
        <f>C76</f>
        <v>0.05</v>
      </c>
      <c r="D81" s="90">
        <f>D76</f>
        <v>0.1</v>
      </c>
      <c r="E81" s="90">
        <f>E76</f>
        <v>0.15</v>
      </c>
      <c r="F81" s="307">
        <f t="shared" si="3"/>
        <v>0.25</v>
      </c>
      <c r="G81" s="481">
        <f>G76</f>
        <v>125</v>
      </c>
      <c r="H81" s="481"/>
      <c r="I81" s="157"/>
      <c r="J81" s="17"/>
      <c r="K81" s="195"/>
      <c r="L81" s="100"/>
      <c r="M81" s="23"/>
      <c r="N81" s="17"/>
    </row>
    <row r="82" spans="1:14" s="1" customFormat="1" ht="15.75" x14ac:dyDescent="0.25">
      <c r="A82" s="64">
        <v>7</v>
      </c>
      <c r="B82" s="90">
        <f>B76</f>
        <v>0.7</v>
      </c>
      <c r="C82" s="90">
        <f>C76</f>
        <v>0.05</v>
      </c>
      <c r="D82" s="90">
        <f>D76</f>
        <v>0.1</v>
      </c>
      <c r="E82" s="90">
        <f>E76</f>
        <v>0.15</v>
      </c>
      <c r="F82" s="307">
        <f t="shared" si="3"/>
        <v>0.25</v>
      </c>
      <c r="G82" s="481">
        <f>G76</f>
        <v>125</v>
      </c>
      <c r="H82" s="481"/>
      <c r="I82" s="157"/>
      <c r="J82" s="17"/>
      <c r="K82" s="195"/>
      <c r="L82" s="100"/>
      <c r="M82" s="23"/>
      <c r="N82" s="17"/>
    </row>
    <row r="83" spans="1:14" s="1" customFormat="1" ht="15.75" x14ac:dyDescent="0.25">
      <c r="A83" s="64">
        <v>8</v>
      </c>
      <c r="B83" s="90">
        <f>B76</f>
        <v>0.7</v>
      </c>
      <c r="C83" s="90">
        <f>C76</f>
        <v>0.05</v>
      </c>
      <c r="D83" s="90">
        <f>D76</f>
        <v>0.1</v>
      </c>
      <c r="E83" s="90">
        <f>E76</f>
        <v>0.15</v>
      </c>
      <c r="F83" s="307">
        <f t="shared" si="3"/>
        <v>0.25</v>
      </c>
      <c r="G83" s="481">
        <f>G76</f>
        <v>125</v>
      </c>
      <c r="H83" s="481"/>
      <c r="I83" s="157"/>
      <c r="J83" s="17"/>
      <c r="K83" s="195"/>
      <c r="L83" s="100"/>
      <c r="M83" s="23"/>
      <c r="N83" s="17"/>
    </row>
    <row r="84" spans="1:14" s="1" customFormat="1" ht="15.75" x14ac:dyDescent="0.25">
      <c r="A84" s="64">
        <v>9</v>
      </c>
      <c r="B84" s="90">
        <f>B76</f>
        <v>0.7</v>
      </c>
      <c r="C84" s="90">
        <f>C76</f>
        <v>0.05</v>
      </c>
      <c r="D84" s="90">
        <f>D76</f>
        <v>0.1</v>
      </c>
      <c r="E84" s="90">
        <f>E76</f>
        <v>0.15</v>
      </c>
      <c r="F84" s="307">
        <f t="shared" si="3"/>
        <v>0.25</v>
      </c>
      <c r="G84" s="481">
        <f>G76</f>
        <v>125</v>
      </c>
      <c r="H84" s="481"/>
      <c r="I84" s="157"/>
      <c r="J84" s="17"/>
      <c r="K84" s="195"/>
      <c r="L84" s="100"/>
      <c r="M84" s="23"/>
      <c r="N84" s="17"/>
    </row>
    <row r="85" spans="1:14" s="1" customFormat="1" ht="15.75" x14ac:dyDescent="0.25">
      <c r="A85" s="64">
        <v>10</v>
      </c>
      <c r="B85" s="90">
        <f>B76</f>
        <v>0.7</v>
      </c>
      <c r="C85" s="90">
        <f>C76</f>
        <v>0.05</v>
      </c>
      <c r="D85" s="90">
        <f>D76</f>
        <v>0.1</v>
      </c>
      <c r="E85" s="90">
        <f>E76</f>
        <v>0.15</v>
      </c>
      <c r="F85" s="307">
        <f t="shared" si="3"/>
        <v>0.25</v>
      </c>
      <c r="G85" s="481">
        <f>G76</f>
        <v>125</v>
      </c>
      <c r="H85" s="481"/>
      <c r="I85" s="157"/>
      <c r="J85" s="17"/>
      <c r="K85" s="195"/>
      <c r="L85" s="100"/>
      <c r="M85" s="23"/>
      <c r="N85" s="17"/>
    </row>
    <row r="86" spans="1:14" s="1" customFormat="1" ht="15.75" x14ac:dyDescent="0.25">
      <c r="A86" s="64">
        <v>11</v>
      </c>
      <c r="B86" s="90">
        <f>B76</f>
        <v>0.7</v>
      </c>
      <c r="C86" s="90">
        <f>C76</f>
        <v>0.05</v>
      </c>
      <c r="D86" s="90">
        <f>D76</f>
        <v>0.1</v>
      </c>
      <c r="E86" s="90">
        <f>E76</f>
        <v>0.15</v>
      </c>
      <c r="F86" s="307">
        <f t="shared" si="3"/>
        <v>0.25</v>
      </c>
      <c r="G86" s="481">
        <f>G76</f>
        <v>125</v>
      </c>
      <c r="H86" s="481"/>
      <c r="I86" s="157"/>
      <c r="J86" s="17"/>
      <c r="K86" s="195"/>
      <c r="L86" s="100"/>
      <c r="M86" s="23"/>
      <c r="N86" s="17"/>
    </row>
    <row r="87" spans="1:14" s="1" customFormat="1" ht="15.75" x14ac:dyDescent="0.25">
      <c r="A87" s="64">
        <v>12</v>
      </c>
      <c r="B87" s="90">
        <f>B76</f>
        <v>0.7</v>
      </c>
      <c r="C87" s="90">
        <f>C76</f>
        <v>0.05</v>
      </c>
      <c r="D87" s="90">
        <f>D76</f>
        <v>0.1</v>
      </c>
      <c r="E87" s="90">
        <f>E76</f>
        <v>0.15</v>
      </c>
      <c r="F87" s="307">
        <f t="shared" si="3"/>
        <v>0.25</v>
      </c>
      <c r="G87" s="481">
        <f>G76</f>
        <v>125</v>
      </c>
      <c r="H87" s="481"/>
      <c r="I87" s="157"/>
      <c r="J87" s="17"/>
      <c r="K87" s="195"/>
      <c r="L87" s="100"/>
      <c r="M87" s="23"/>
      <c r="N87" s="17"/>
    </row>
    <row r="88" spans="1:14" s="1" customFormat="1" ht="15.75" x14ac:dyDescent="0.25">
      <c r="A88" s="64">
        <v>13</v>
      </c>
      <c r="B88" s="90">
        <f>B76</f>
        <v>0.7</v>
      </c>
      <c r="C88" s="90">
        <f>C76</f>
        <v>0.05</v>
      </c>
      <c r="D88" s="90">
        <f>D76</f>
        <v>0.1</v>
      </c>
      <c r="E88" s="90">
        <f>E76</f>
        <v>0.15</v>
      </c>
      <c r="F88" s="307">
        <f t="shared" si="3"/>
        <v>0.25</v>
      </c>
      <c r="G88" s="481">
        <f>G76</f>
        <v>125</v>
      </c>
      <c r="H88" s="481"/>
      <c r="I88" s="157"/>
      <c r="J88" s="17"/>
      <c r="K88" s="195"/>
      <c r="L88" s="100"/>
      <c r="M88" s="23"/>
      <c r="N88" s="17"/>
    </row>
    <row r="89" spans="1:14" s="1" customFormat="1" ht="15.75" x14ac:dyDescent="0.25">
      <c r="A89" s="64">
        <v>14</v>
      </c>
      <c r="B89" s="90">
        <f>B76</f>
        <v>0.7</v>
      </c>
      <c r="C89" s="90">
        <f>C76</f>
        <v>0.05</v>
      </c>
      <c r="D89" s="90">
        <f>D76</f>
        <v>0.1</v>
      </c>
      <c r="E89" s="90">
        <f>E76</f>
        <v>0.15</v>
      </c>
      <c r="F89" s="307">
        <f t="shared" si="3"/>
        <v>0.25</v>
      </c>
      <c r="G89" s="481">
        <f>G76</f>
        <v>125</v>
      </c>
      <c r="H89" s="481"/>
      <c r="I89" s="157"/>
      <c r="J89" s="17"/>
      <c r="K89" s="195"/>
      <c r="L89" s="100"/>
      <c r="M89" s="23"/>
      <c r="N89" s="17"/>
    </row>
    <row r="90" spans="1:14" s="1" customFormat="1" ht="15.75" x14ac:dyDescent="0.25">
      <c r="A90" s="64">
        <v>15</v>
      </c>
      <c r="B90" s="90">
        <f t="shared" ref="B90:E93" si="4">B76</f>
        <v>0.7</v>
      </c>
      <c r="C90" s="90">
        <f t="shared" si="4"/>
        <v>0.05</v>
      </c>
      <c r="D90" s="90">
        <f t="shared" si="4"/>
        <v>0.1</v>
      </c>
      <c r="E90" s="90">
        <f t="shared" si="4"/>
        <v>0.15</v>
      </c>
      <c r="F90" s="307">
        <f t="shared" si="3"/>
        <v>0.25</v>
      </c>
      <c r="G90" s="481">
        <f t="shared" ref="G90:G95" si="5">G76</f>
        <v>125</v>
      </c>
      <c r="H90" s="481"/>
      <c r="I90" s="157"/>
      <c r="J90" s="17"/>
      <c r="K90" s="195"/>
      <c r="L90" s="100"/>
      <c r="M90" s="23"/>
      <c r="N90" s="17"/>
    </row>
    <row r="91" spans="1:14" s="1" customFormat="1" ht="15.75" x14ac:dyDescent="0.25">
      <c r="A91" s="64">
        <v>16</v>
      </c>
      <c r="B91" s="90">
        <f t="shared" si="4"/>
        <v>0.7</v>
      </c>
      <c r="C91" s="90">
        <f t="shared" si="4"/>
        <v>0.05</v>
      </c>
      <c r="D91" s="90">
        <f t="shared" si="4"/>
        <v>0.1</v>
      </c>
      <c r="E91" s="90">
        <f t="shared" si="4"/>
        <v>0.15</v>
      </c>
      <c r="F91" s="307">
        <f t="shared" si="3"/>
        <v>0.25</v>
      </c>
      <c r="G91" s="481">
        <f t="shared" si="5"/>
        <v>125</v>
      </c>
      <c r="H91" s="481"/>
      <c r="I91" s="157"/>
      <c r="J91" s="17"/>
      <c r="K91" s="195"/>
      <c r="L91" s="100"/>
      <c r="M91" s="23"/>
      <c r="N91" s="17"/>
    </row>
    <row r="92" spans="1:14" s="1" customFormat="1" ht="15.75" x14ac:dyDescent="0.25">
      <c r="A92" s="64">
        <v>17</v>
      </c>
      <c r="B92" s="90">
        <f t="shared" si="4"/>
        <v>0.7</v>
      </c>
      <c r="C92" s="90">
        <f t="shared" si="4"/>
        <v>0.05</v>
      </c>
      <c r="D92" s="90">
        <f t="shared" si="4"/>
        <v>0.1</v>
      </c>
      <c r="E92" s="90">
        <f t="shared" si="4"/>
        <v>0.15</v>
      </c>
      <c r="F92" s="307">
        <f t="shared" si="3"/>
        <v>0.25</v>
      </c>
      <c r="G92" s="481">
        <f t="shared" si="5"/>
        <v>125</v>
      </c>
      <c r="H92" s="481"/>
      <c r="I92" s="157"/>
      <c r="J92" s="17"/>
      <c r="K92" s="195"/>
      <c r="L92" s="100"/>
      <c r="M92" s="23"/>
      <c r="N92" s="17"/>
    </row>
    <row r="93" spans="1:14" s="1" customFormat="1" ht="15.75" x14ac:dyDescent="0.25">
      <c r="A93" s="64">
        <v>18</v>
      </c>
      <c r="B93" s="90">
        <f t="shared" si="4"/>
        <v>0.7</v>
      </c>
      <c r="C93" s="90">
        <f t="shared" si="4"/>
        <v>0.05</v>
      </c>
      <c r="D93" s="90">
        <f t="shared" si="4"/>
        <v>0.1</v>
      </c>
      <c r="E93" s="90">
        <f t="shared" si="4"/>
        <v>0.15</v>
      </c>
      <c r="F93" s="307">
        <f t="shared" si="3"/>
        <v>0.25</v>
      </c>
      <c r="G93" s="481">
        <f t="shared" si="5"/>
        <v>125</v>
      </c>
      <c r="H93" s="481"/>
      <c r="I93" s="157"/>
      <c r="J93" s="17"/>
      <c r="K93" s="195"/>
      <c r="L93" s="100"/>
      <c r="M93" s="23"/>
      <c r="N93" s="17"/>
    </row>
    <row r="94" spans="1:14" s="1" customFormat="1" ht="15.75" x14ac:dyDescent="0.25">
      <c r="A94" s="64">
        <v>19</v>
      </c>
      <c r="B94" s="90">
        <f t="shared" ref="B94:E95" si="6">B80</f>
        <v>0.7</v>
      </c>
      <c r="C94" s="90">
        <f t="shared" si="6"/>
        <v>0.05</v>
      </c>
      <c r="D94" s="90">
        <f t="shared" si="6"/>
        <v>0.1</v>
      </c>
      <c r="E94" s="90">
        <f t="shared" si="6"/>
        <v>0.15</v>
      </c>
      <c r="F94" s="307">
        <f t="shared" si="3"/>
        <v>0.25</v>
      </c>
      <c r="G94" s="481">
        <f t="shared" si="5"/>
        <v>125</v>
      </c>
      <c r="H94" s="481"/>
      <c r="I94" s="157"/>
      <c r="J94" s="17"/>
      <c r="K94" s="195"/>
      <c r="L94" s="100"/>
      <c r="M94" s="23"/>
      <c r="N94" s="17"/>
    </row>
    <row r="95" spans="1:14" s="1" customFormat="1" ht="15.75" x14ac:dyDescent="0.25">
      <c r="A95" s="64">
        <v>20</v>
      </c>
      <c r="B95" s="90">
        <f t="shared" si="6"/>
        <v>0.7</v>
      </c>
      <c r="C95" s="90">
        <f t="shared" si="6"/>
        <v>0.05</v>
      </c>
      <c r="D95" s="90">
        <f t="shared" si="6"/>
        <v>0.1</v>
      </c>
      <c r="E95" s="90">
        <f t="shared" si="6"/>
        <v>0.15</v>
      </c>
      <c r="F95" s="307">
        <f t="shared" si="3"/>
        <v>0.25</v>
      </c>
      <c r="G95" s="481">
        <f t="shared" si="5"/>
        <v>125</v>
      </c>
      <c r="H95" s="481"/>
      <c r="I95" s="157"/>
      <c r="J95" s="17"/>
      <c r="K95" s="195"/>
      <c r="L95" s="100"/>
      <c r="M95" s="23"/>
      <c r="N95" s="17"/>
    </row>
    <row r="96" spans="1:14" s="1" customFormat="1" ht="15.75" x14ac:dyDescent="0.25">
      <c r="A96" s="70" t="s">
        <v>231</v>
      </c>
      <c r="B96" s="131">
        <f t="shared" ref="B96:G96" si="7">AVERAGE(B79:B95)</f>
        <v>0.69999999999999984</v>
      </c>
      <c r="C96" s="131">
        <f t="shared" si="7"/>
        <v>5.000000000000001E-2</v>
      </c>
      <c r="D96" s="131">
        <f t="shared" si="7"/>
        <v>0.10000000000000002</v>
      </c>
      <c r="E96" s="131">
        <f t="shared" si="7"/>
        <v>0.14999999999999997</v>
      </c>
      <c r="F96" s="131">
        <f t="shared" si="7"/>
        <v>0.25</v>
      </c>
      <c r="G96" s="482">
        <f t="shared" si="7"/>
        <v>125</v>
      </c>
      <c r="H96" s="482"/>
      <c r="J96" s="17"/>
      <c r="K96" s="195"/>
      <c r="L96" s="100"/>
      <c r="M96" s="23"/>
      <c r="N96" s="17"/>
    </row>
    <row r="97" spans="1:14" s="1" customFormat="1" ht="15.75" x14ac:dyDescent="0.25">
      <c r="A97" s="70" t="s">
        <v>232</v>
      </c>
      <c r="B97" s="131">
        <f t="shared" ref="B97:G97" si="8">AVERAGE(B76:B95)</f>
        <v>0.69999999999999973</v>
      </c>
      <c r="C97" s="131">
        <f t="shared" si="8"/>
        <v>5.000000000000001E-2</v>
      </c>
      <c r="D97" s="131">
        <f t="shared" si="8"/>
        <v>0.10000000000000002</v>
      </c>
      <c r="E97" s="131">
        <f t="shared" si="8"/>
        <v>0.14999999999999997</v>
      </c>
      <c r="F97" s="131">
        <f t="shared" si="8"/>
        <v>0.25</v>
      </c>
      <c r="G97" s="482">
        <f t="shared" si="8"/>
        <v>125</v>
      </c>
      <c r="H97" s="482"/>
      <c r="J97" s="17"/>
      <c r="K97" s="195"/>
      <c r="L97" s="100"/>
      <c r="M97" s="23"/>
      <c r="N97" s="17"/>
    </row>
    <row r="98" spans="1:14" s="1" customFormat="1" ht="15.75" x14ac:dyDescent="0.25">
      <c r="B98" s="108"/>
      <c r="C98" s="108"/>
      <c r="D98" s="108"/>
      <c r="E98" s="93"/>
      <c r="F98" s="109"/>
      <c r="I98" s="125"/>
      <c r="J98" s="23"/>
      <c r="K98" s="195"/>
      <c r="L98" s="160"/>
      <c r="M98" s="23"/>
      <c r="N98" s="23"/>
    </row>
    <row r="99" spans="1:14" s="1" customFormat="1" ht="33" x14ac:dyDescent="0.45">
      <c r="A99" s="439" t="s">
        <v>382</v>
      </c>
      <c r="B99" s="489"/>
      <c r="C99" s="489"/>
      <c r="D99" s="489"/>
      <c r="E99" s="490"/>
      <c r="F99" s="491"/>
      <c r="G99" s="480"/>
      <c r="H99" s="492"/>
      <c r="I99" s="493"/>
      <c r="J99" s="23"/>
      <c r="K99" s="195"/>
      <c r="L99" s="160"/>
      <c r="M99" s="23"/>
      <c r="N99" s="23"/>
    </row>
    <row r="100" spans="1:14" s="1" customFormat="1" ht="29.25" customHeight="1" x14ac:dyDescent="0.25">
      <c r="B100" s="731" t="s">
        <v>137</v>
      </c>
      <c r="C100" s="731" t="s">
        <v>138</v>
      </c>
      <c r="D100" s="877" t="s">
        <v>155</v>
      </c>
      <c r="E100" s="879" t="s">
        <v>195</v>
      </c>
      <c r="F100" s="878" t="s">
        <v>140</v>
      </c>
      <c r="G100" s="734" t="s">
        <v>141</v>
      </c>
      <c r="I100" s="125"/>
      <c r="J100" s="23"/>
      <c r="K100" s="195"/>
      <c r="L100" s="160"/>
      <c r="M100" s="23"/>
      <c r="N100" s="23"/>
    </row>
    <row r="101" spans="1:14" s="1" customFormat="1" ht="16.5" thickBot="1" x14ac:dyDescent="0.3">
      <c r="B101" s="214" t="s">
        <v>139</v>
      </c>
      <c r="C101" s="214" t="s">
        <v>139</v>
      </c>
      <c r="D101" s="214" t="s">
        <v>139</v>
      </c>
      <c r="E101" s="214" t="s">
        <v>139</v>
      </c>
      <c r="F101" s="214" t="s">
        <v>139</v>
      </c>
      <c r="G101" s="214" t="s">
        <v>139</v>
      </c>
      <c r="I101" s="125"/>
      <c r="J101" s="23"/>
      <c r="K101" s="195"/>
      <c r="L101" s="160"/>
      <c r="M101" s="23"/>
      <c r="N101" s="23"/>
    </row>
    <row r="102" spans="1:14" s="1" customFormat="1" ht="15.75" x14ac:dyDescent="0.25">
      <c r="A102" s="106" t="s">
        <v>80</v>
      </c>
      <c r="B102" s="513">
        <v>10</v>
      </c>
      <c r="C102" s="513">
        <v>10</v>
      </c>
      <c r="D102" s="516">
        <v>160</v>
      </c>
      <c r="E102" s="1209">
        <v>40</v>
      </c>
      <c r="F102" s="514">
        <v>30</v>
      </c>
      <c r="G102" s="515">
        <v>10</v>
      </c>
      <c r="H102" s="6"/>
      <c r="I102" s="125"/>
      <c r="J102" s="23"/>
      <c r="K102" s="195"/>
      <c r="L102" s="160"/>
      <c r="M102" s="23"/>
      <c r="N102" s="23"/>
    </row>
    <row r="103" spans="1:14" s="1" customFormat="1" ht="15.75" x14ac:dyDescent="0.25">
      <c r="A103" s="1" t="s">
        <v>105</v>
      </c>
      <c r="B103" s="516">
        <v>10</v>
      </c>
      <c r="C103" s="516">
        <v>10</v>
      </c>
      <c r="D103" s="516">
        <v>50</v>
      </c>
      <c r="E103" s="516">
        <v>0</v>
      </c>
      <c r="F103" s="514">
        <v>10</v>
      </c>
      <c r="G103" s="515">
        <v>10</v>
      </c>
      <c r="I103" s="125"/>
      <c r="J103" s="23"/>
      <c r="K103" s="195"/>
      <c r="L103" s="160"/>
      <c r="M103" s="23"/>
      <c r="N103" s="23"/>
    </row>
    <row r="104" spans="1:14" s="1" customFormat="1" ht="15.75" x14ac:dyDescent="0.25">
      <c r="A104" s="1" t="s">
        <v>142</v>
      </c>
      <c r="B104" s="516">
        <v>10</v>
      </c>
      <c r="C104" s="516">
        <v>10</v>
      </c>
      <c r="D104" s="516">
        <v>50</v>
      </c>
      <c r="E104" s="516">
        <v>20</v>
      </c>
      <c r="F104" s="514">
        <v>10</v>
      </c>
      <c r="G104" s="515">
        <v>10</v>
      </c>
      <c r="I104" s="125"/>
      <c r="J104" s="23"/>
      <c r="K104" s="195"/>
      <c r="L104" s="160"/>
      <c r="M104" s="23"/>
      <c r="N104" s="23"/>
    </row>
    <row r="105" spans="1:14" s="1" customFormat="1" ht="15.75" x14ac:dyDescent="0.25">
      <c r="A105" s="1" t="s">
        <v>168</v>
      </c>
      <c r="B105" s="212" t="s">
        <v>143</v>
      </c>
      <c r="C105" s="212"/>
      <c r="D105" s="212"/>
      <c r="E105" s="212"/>
      <c r="F105" s="109"/>
      <c r="I105" s="125"/>
      <c r="J105" s="23"/>
      <c r="K105" s="195"/>
      <c r="L105" s="160"/>
      <c r="M105" s="23"/>
      <c r="N105" s="23"/>
    </row>
    <row r="106" spans="1:14" s="1" customFormat="1" ht="15.75" x14ac:dyDescent="0.25">
      <c r="B106" s="212"/>
      <c r="C106" s="212"/>
      <c r="D106" s="212"/>
      <c r="E106" s="212"/>
      <c r="F106" s="109"/>
      <c r="I106" s="125"/>
      <c r="J106" s="23"/>
      <c r="K106" s="195"/>
      <c r="L106" s="160"/>
      <c r="M106" s="23"/>
      <c r="N106" s="23"/>
    </row>
    <row r="107" spans="1:14" s="1" customFormat="1" ht="31.5" customHeight="1" x14ac:dyDescent="0.4">
      <c r="A107" s="1285" t="s">
        <v>383</v>
      </c>
      <c r="B107" s="1286"/>
      <c r="C107" s="1287"/>
      <c r="D107" s="1288"/>
      <c r="E107" s="1288"/>
      <c r="F107" s="1288"/>
      <c r="G107" s="1288"/>
      <c r="H107" s="445"/>
      <c r="I107" s="445"/>
    </row>
    <row r="108" spans="1:14" x14ac:dyDescent="0.2">
      <c r="K108" s="1"/>
      <c r="M108" s="23"/>
      <c r="N108" s="103"/>
    </row>
    <row r="109" spans="1:14" s="1" customFormat="1" ht="26.25" x14ac:dyDescent="0.4">
      <c r="A109" s="494" t="s">
        <v>104</v>
      </c>
      <c r="B109" s="480"/>
      <c r="C109" s="495"/>
      <c r="D109" s="437"/>
      <c r="E109" s="497"/>
      <c r="F109" s="497"/>
      <c r="G109" s="475"/>
      <c r="H109" s="615"/>
      <c r="I109" s="480"/>
      <c r="M109" s="23"/>
      <c r="N109" s="17"/>
    </row>
    <row r="110" spans="1:14" ht="22.5" customHeight="1" x14ac:dyDescent="0.2">
      <c r="A110" s="4"/>
      <c r="B110" s="500" t="s">
        <v>485</v>
      </c>
      <c r="C110" s="500" t="s">
        <v>584</v>
      </c>
      <c r="D110" s="500" t="s">
        <v>585</v>
      </c>
      <c r="E110" s="501"/>
      <c r="I110" s="23"/>
      <c r="J110" s="23"/>
      <c r="K110" s="23"/>
      <c r="L110" s="23"/>
      <c r="M110" s="23"/>
      <c r="N110" s="17"/>
    </row>
    <row r="111" spans="1:14" x14ac:dyDescent="0.2">
      <c r="A111" s="498" t="s">
        <v>56</v>
      </c>
      <c r="B111" s="1049">
        <f>0.95</f>
        <v>0.95</v>
      </c>
      <c r="C111" s="1216">
        <v>0.43</v>
      </c>
      <c r="D111" s="1216">
        <f>350/1000</f>
        <v>0.35</v>
      </c>
      <c r="I111" s="190"/>
      <c r="J111" s="54"/>
      <c r="K111" s="54"/>
      <c r="L111" s="189"/>
      <c r="M111" s="23"/>
    </row>
    <row r="112" spans="1:14" x14ac:dyDescent="0.2">
      <c r="A112" s="152"/>
      <c r="B112" s="273"/>
      <c r="C112" s="273"/>
      <c r="D112" s="99"/>
      <c r="I112" s="190"/>
      <c r="J112" s="58"/>
      <c r="K112" s="58"/>
      <c r="L112" s="58"/>
      <c r="M112" s="23"/>
    </row>
    <row r="113" spans="1:13" x14ac:dyDescent="0.2">
      <c r="A113" s="499" t="s">
        <v>89</v>
      </c>
      <c r="B113" s="517">
        <v>0</v>
      </c>
      <c r="C113" s="517">
        <v>0</v>
      </c>
      <c r="D113" s="1217">
        <v>0</v>
      </c>
      <c r="I113" s="190"/>
      <c r="J113" s="191"/>
      <c r="K113" s="191"/>
      <c r="L113" s="192"/>
      <c r="M113" s="23"/>
    </row>
    <row r="114" spans="1:13" x14ac:dyDescent="0.2">
      <c r="A114" s="4"/>
      <c r="B114" s="14"/>
      <c r="C114" s="518"/>
      <c r="D114" s="1031">
        <v>0</v>
      </c>
      <c r="I114" s="23"/>
      <c r="J114" s="23"/>
      <c r="K114" s="23"/>
      <c r="L114" s="23"/>
      <c r="M114" s="23"/>
    </row>
    <row r="115" spans="1:13" x14ac:dyDescent="0.2">
      <c r="A115" s="499" t="s">
        <v>105</v>
      </c>
      <c r="B115" s="517">
        <v>50</v>
      </c>
      <c r="C115" s="517">
        <v>50</v>
      </c>
      <c r="D115" s="1217">
        <v>0</v>
      </c>
      <c r="I115" s="52"/>
      <c r="J115" s="23"/>
      <c r="K115" s="52"/>
      <c r="L115" s="52"/>
      <c r="M115" s="23"/>
    </row>
    <row r="116" spans="1:13" x14ac:dyDescent="0.2">
      <c r="A116" s="223" t="s">
        <v>153</v>
      </c>
      <c r="B116" s="65">
        <v>0</v>
      </c>
      <c r="C116" s="65">
        <v>0</v>
      </c>
      <c r="D116" s="1031">
        <v>0</v>
      </c>
      <c r="I116" s="52"/>
      <c r="J116" s="23"/>
      <c r="K116" s="52"/>
      <c r="L116" s="52"/>
      <c r="M116" s="23"/>
    </row>
    <row r="117" spans="1:13" x14ac:dyDescent="0.2">
      <c r="A117" s="499" t="s">
        <v>106</v>
      </c>
      <c r="B117" s="517">
        <v>100</v>
      </c>
      <c r="C117" s="517">
        <v>125</v>
      </c>
      <c r="D117" s="1217">
        <v>0</v>
      </c>
      <c r="I117" s="52"/>
      <c r="J117" s="23"/>
      <c r="K117" s="193"/>
      <c r="L117" s="23"/>
      <c r="M117" s="23"/>
    </row>
    <row r="118" spans="1:13" x14ac:dyDescent="0.2">
      <c r="A118" s="223" t="s">
        <v>153</v>
      </c>
      <c r="B118" s="65">
        <v>1</v>
      </c>
      <c r="C118" s="65">
        <v>0</v>
      </c>
      <c r="D118" s="1031">
        <v>0</v>
      </c>
      <c r="I118" s="52"/>
      <c r="J118" s="23"/>
      <c r="K118" s="194"/>
      <c r="L118" s="23"/>
      <c r="M118" s="23"/>
    </row>
    <row r="119" spans="1:13" ht="15.75" x14ac:dyDescent="0.25">
      <c r="A119" s="499" t="s">
        <v>107</v>
      </c>
      <c r="B119" s="517">
        <v>150</v>
      </c>
      <c r="C119" s="517">
        <v>200</v>
      </c>
      <c r="D119" s="1217">
        <v>0</v>
      </c>
      <c r="I119" s="125"/>
      <c r="J119" s="23"/>
      <c r="K119" s="195"/>
      <c r="L119" s="160"/>
      <c r="M119" s="23"/>
    </row>
    <row r="120" spans="1:13" x14ac:dyDescent="0.2">
      <c r="A120" s="223" t="s">
        <v>153</v>
      </c>
      <c r="B120" s="65">
        <v>1</v>
      </c>
      <c r="C120" s="65">
        <v>1</v>
      </c>
      <c r="D120" s="1031">
        <v>0</v>
      </c>
      <c r="F120" s="433"/>
    </row>
    <row r="121" spans="1:13" x14ac:dyDescent="0.2">
      <c r="A121" s="499" t="s">
        <v>377</v>
      </c>
      <c r="B121" s="517">
        <v>200</v>
      </c>
      <c r="C121" s="517">
        <v>400</v>
      </c>
      <c r="D121" s="1217">
        <v>0</v>
      </c>
    </row>
    <row r="122" spans="1:13" x14ac:dyDescent="0.2">
      <c r="A122" s="223" t="s">
        <v>153</v>
      </c>
      <c r="B122" s="65">
        <v>2</v>
      </c>
      <c r="C122" s="65">
        <v>1</v>
      </c>
      <c r="D122" s="1031">
        <v>0</v>
      </c>
    </row>
    <row r="123" spans="1:13" x14ac:dyDescent="0.2">
      <c r="A123" s="499" t="s">
        <v>378</v>
      </c>
      <c r="B123" s="517">
        <v>200</v>
      </c>
      <c r="C123" s="517">
        <v>400</v>
      </c>
      <c r="D123" s="1217">
        <v>0</v>
      </c>
    </row>
    <row r="124" spans="1:13" x14ac:dyDescent="0.2">
      <c r="A124" s="223" t="s">
        <v>153</v>
      </c>
      <c r="B124" s="65">
        <v>2</v>
      </c>
      <c r="C124" s="65">
        <v>1</v>
      </c>
      <c r="D124" s="1031">
        <v>0</v>
      </c>
    </row>
    <row r="125" spans="1:13" x14ac:dyDescent="0.2">
      <c r="A125" s="363" t="s">
        <v>80</v>
      </c>
      <c r="B125" s="517">
        <v>200</v>
      </c>
      <c r="C125" s="1217">
        <v>400</v>
      </c>
      <c r="D125" s="1218">
        <v>1000</v>
      </c>
    </row>
    <row r="126" spans="1:13" x14ac:dyDescent="0.2">
      <c r="A126" s="156" t="s">
        <v>153</v>
      </c>
      <c r="B126" s="65">
        <v>2</v>
      </c>
      <c r="C126" s="1031">
        <v>1</v>
      </c>
      <c r="D126" s="1031">
        <v>1</v>
      </c>
    </row>
    <row r="128" spans="1:13" s="1" customFormat="1" ht="26.25" x14ac:dyDescent="0.4">
      <c r="A128" s="494" t="s">
        <v>610</v>
      </c>
      <c r="B128" s="480"/>
      <c r="C128" s="495"/>
      <c r="D128" s="497"/>
      <c r="E128" s="497"/>
      <c r="F128" s="497"/>
      <c r="G128" s="437"/>
      <c r="H128" s="437"/>
      <c r="I128" s="1033"/>
    </row>
    <row r="129" spans="1:9" s="1" customFormat="1" ht="20.25" x14ac:dyDescent="0.3">
      <c r="A129" s="4"/>
      <c r="B129" s="1238"/>
      <c r="C129" s="501"/>
      <c r="D129" s="501"/>
      <c r="E129" s="1239"/>
      <c r="F129" s="850"/>
      <c r="G129" s="216"/>
    </row>
    <row r="130" spans="1:9" ht="15.75" x14ac:dyDescent="0.25">
      <c r="A130" s="4"/>
      <c r="B130" s="251" t="s">
        <v>39</v>
      </c>
      <c r="C130" s="251" t="s">
        <v>40</v>
      </c>
      <c r="D130" s="251" t="s">
        <v>41</v>
      </c>
      <c r="E130" s="251" t="s">
        <v>42</v>
      </c>
      <c r="F130" s="251" t="s">
        <v>609</v>
      </c>
      <c r="G130" s="851"/>
      <c r="I130" s="432"/>
    </row>
    <row r="131" spans="1:9" ht="15.75" x14ac:dyDescent="0.25">
      <c r="A131" s="4"/>
      <c r="B131" s="251"/>
      <c r="C131" s="251"/>
      <c r="D131" s="251"/>
      <c r="E131" s="251"/>
      <c r="F131" s="685"/>
      <c r="G131" s="851"/>
      <c r="I131" s="432"/>
    </row>
    <row r="132" spans="1:9" x14ac:dyDescent="0.2">
      <c r="A132" s="499" t="s">
        <v>351</v>
      </c>
      <c r="B132" s="1240">
        <v>200</v>
      </c>
      <c r="C132" s="1240">
        <v>250</v>
      </c>
      <c r="D132" s="1240">
        <v>480</v>
      </c>
      <c r="E132" s="1241">
        <v>870</v>
      </c>
      <c r="F132" s="1241">
        <v>1100</v>
      </c>
      <c r="G132" s="851"/>
      <c r="I132" s="432"/>
    </row>
    <row r="133" spans="1:9" x14ac:dyDescent="0.2">
      <c r="A133" s="499" t="s">
        <v>606</v>
      </c>
      <c r="B133" s="1240">
        <v>0</v>
      </c>
      <c r="C133" s="1240">
        <v>500</v>
      </c>
      <c r="D133" s="1240">
        <v>500</v>
      </c>
      <c r="E133" s="1240">
        <v>500</v>
      </c>
      <c r="F133" s="1241">
        <v>550</v>
      </c>
      <c r="G133" s="851"/>
      <c r="I133" s="432"/>
    </row>
    <row r="134" spans="1:9" x14ac:dyDescent="0.2">
      <c r="A134" s="499" t="s">
        <v>352</v>
      </c>
      <c r="B134" s="1240">
        <v>15</v>
      </c>
      <c r="C134" s="1240">
        <v>30</v>
      </c>
      <c r="D134" s="1240">
        <v>460</v>
      </c>
      <c r="E134" s="1241">
        <v>500</v>
      </c>
      <c r="F134" s="1241">
        <v>2020</v>
      </c>
      <c r="G134" s="851"/>
      <c r="I134" s="432"/>
    </row>
    <row r="135" spans="1:9" x14ac:dyDescent="0.2">
      <c r="A135" s="499" t="s">
        <v>353</v>
      </c>
      <c r="B135" s="1241">
        <v>110</v>
      </c>
      <c r="C135" s="1241">
        <v>110</v>
      </c>
      <c r="D135" s="1241">
        <v>110</v>
      </c>
      <c r="E135" s="1241">
        <v>110</v>
      </c>
      <c r="F135" s="1241">
        <v>570</v>
      </c>
      <c r="G135" s="851"/>
      <c r="I135" s="432"/>
    </row>
    <row r="136" spans="1:9" x14ac:dyDescent="0.2">
      <c r="A136" s="499" t="s">
        <v>607</v>
      </c>
      <c r="B136" s="1241">
        <v>0</v>
      </c>
      <c r="C136" s="1241">
        <v>0</v>
      </c>
      <c r="D136" s="1241">
        <v>0</v>
      </c>
      <c r="E136" s="1241">
        <v>0</v>
      </c>
      <c r="F136" s="1241">
        <v>440</v>
      </c>
      <c r="G136" s="851"/>
      <c r="I136" s="432"/>
    </row>
    <row r="137" spans="1:9" x14ac:dyDescent="0.2">
      <c r="A137" s="223"/>
      <c r="B137" s="4"/>
      <c r="C137" s="4"/>
      <c r="D137" s="4"/>
      <c r="E137" s="4"/>
      <c r="F137" s="151"/>
      <c r="G137" s="851"/>
      <c r="H137" s="1"/>
      <c r="I137" s="432"/>
    </row>
    <row r="138" spans="1:9" x14ac:dyDescent="0.2">
      <c r="A138" s="3"/>
      <c r="B138" s="4"/>
      <c r="C138" s="4"/>
      <c r="D138" s="4"/>
      <c r="E138" s="4"/>
      <c r="F138" s="151"/>
      <c r="G138" s="851"/>
      <c r="H138" s="1"/>
      <c r="I138" s="432"/>
    </row>
    <row r="139" spans="1:9" s="1" customFormat="1" ht="15" customHeight="1" x14ac:dyDescent="0.3">
      <c r="B139" s="155"/>
      <c r="C139" s="142"/>
      <c r="D139" s="46"/>
      <c r="E139" s="46"/>
      <c r="F139" s="46"/>
    </row>
    <row r="140" spans="1:9" ht="32.25" customHeight="1" x14ac:dyDescent="0.4">
      <c r="A140" s="509" t="s">
        <v>23</v>
      </c>
      <c r="B140" s="437"/>
      <c r="C140" s="510"/>
      <c r="D140" s="511"/>
      <c r="E140" s="511"/>
      <c r="F140" s="511"/>
      <c r="G140" s="512"/>
      <c r="H140" s="1264"/>
      <c r="I140" s="1265"/>
    </row>
    <row r="141" spans="1:9" x14ac:dyDescent="0.2">
      <c r="A141" s="4"/>
      <c r="B141" s="216"/>
      <c r="D141" s="13"/>
      <c r="E141" s="13"/>
      <c r="F141" s="13"/>
      <c r="G141" s="17"/>
    </row>
    <row r="142" spans="1:9" x14ac:dyDescent="0.2">
      <c r="A142" s="4"/>
      <c r="B142" s="138" t="s">
        <v>169</v>
      </c>
      <c r="D142" s="13"/>
      <c r="E142" s="13"/>
      <c r="F142" s="13"/>
      <c r="G142" s="17"/>
    </row>
    <row r="143" spans="1:9" x14ac:dyDescent="0.2">
      <c r="A143" s="4"/>
      <c r="B143" s="138" t="s">
        <v>423</v>
      </c>
    </row>
    <row r="144" spans="1:9" x14ac:dyDescent="0.2">
      <c r="A144" s="4"/>
      <c r="B144" s="17"/>
      <c r="C144" s="136"/>
      <c r="D144" s="13"/>
      <c r="E144" s="13"/>
      <c r="F144" s="13"/>
    </row>
    <row r="145" spans="1:10" ht="15.75" x14ac:dyDescent="0.25">
      <c r="A145" s="4"/>
      <c r="B145" s="520" t="s">
        <v>93</v>
      </c>
      <c r="C145" s="495"/>
      <c r="D145" s="13"/>
      <c r="E145" s="13"/>
      <c r="F145" s="13"/>
    </row>
    <row r="146" spans="1:10" ht="18" customHeight="1" x14ac:dyDescent="0.2">
      <c r="A146" s="223" t="s">
        <v>24</v>
      </c>
      <c r="B146" s="106" t="s">
        <v>422</v>
      </c>
      <c r="D146" s="145">
        <f>D161</f>
        <v>41</v>
      </c>
      <c r="F146" s="238" t="s">
        <v>234</v>
      </c>
      <c r="H146" s="312">
        <v>0.25</v>
      </c>
    </row>
    <row r="147" spans="1:10" ht="18" customHeight="1" x14ac:dyDescent="0.2">
      <c r="A147" s="223"/>
      <c r="B147" s="106"/>
      <c r="D147" s="136"/>
      <c r="E147" s="154"/>
      <c r="G147" s="166"/>
    </row>
    <row r="148" spans="1:10" x14ac:dyDescent="0.2">
      <c r="A148" s="223"/>
      <c r="B148" s="1"/>
      <c r="D148" s="136"/>
      <c r="F148" s="171" t="s">
        <v>119</v>
      </c>
      <c r="G148" s="881" t="s">
        <v>120</v>
      </c>
      <c r="H148" s="49" t="s">
        <v>86</v>
      </c>
    </row>
    <row r="149" spans="1:10" x14ac:dyDescent="0.2">
      <c r="A149" s="4"/>
      <c r="C149" s="123" t="s">
        <v>111</v>
      </c>
      <c r="D149" s="128" t="s">
        <v>112</v>
      </c>
      <c r="E149" s="49" t="s">
        <v>11</v>
      </c>
      <c r="F149" s="172" t="s">
        <v>121</v>
      </c>
      <c r="G149" s="172" t="s">
        <v>121</v>
      </c>
      <c r="H149" s="172" t="s">
        <v>121</v>
      </c>
    </row>
    <row r="150" spans="1:10" x14ac:dyDescent="0.2">
      <c r="A150" s="223" t="s">
        <v>109</v>
      </c>
      <c r="B150" s="19" t="s">
        <v>476</v>
      </c>
      <c r="C150" s="141">
        <v>1</v>
      </c>
      <c r="D150" s="1246">
        <v>37</v>
      </c>
      <c r="E150" s="283"/>
      <c r="F150" s="283"/>
      <c r="G150" s="176">
        <v>11.67</v>
      </c>
      <c r="H150" s="522"/>
      <c r="J150" s="847"/>
    </row>
    <row r="151" spans="1:10" x14ac:dyDescent="0.2">
      <c r="A151" s="4"/>
      <c r="B151" s="19" t="s">
        <v>478</v>
      </c>
      <c r="C151" s="141">
        <v>1</v>
      </c>
      <c r="D151" s="1246">
        <v>42</v>
      </c>
      <c r="E151" s="283"/>
      <c r="F151" s="283"/>
      <c r="G151" s="176">
        <v>6.07</v>
      </c>
      <c r="H151" s="522"/>
      <c r="J151" s="851"/>
    </row>
    <row r="152" spans="1:10" x14ac:dyDescent="0.2">
      <c r="A152" s="4"/>
      <c r="B152" s="1" t="s">
        <v>91</v>
      </c>
      <c r="C152" s="141">
        <v>1</v>
      </c>
      <c r="D152" s="1246">
        <v>18</v>
      </c>
      <c r="E152" s="283"/>
      <c r="F152" s="283"/>
      <c r="G152" s="176">
        <v>7.03</v>
      </c>
      <c r="H152" s="522"/>
      <c r="J152" s="847"/>
    </row>
    <row r="153" spans="1:10" x14ac:dyDescent="0.2">
      <c r="A153" s="4"/>
      <c r="B153" s="99" t="s">
        <v>233</v>
      </c>
      <c r="C153" s="524">
        <v>960</v>
      </c>
      <c r="D153" s="1246">
        <v>9.1999999999999993</v>
      </c>
      <c r="E153" s="523">
        <v>4</v>
      </c>
      <c r="F153" s="283"/>
      <c r="G153" s="176">
        <v>1.53</v>
      </c>
      <c r="H153" s="522"/>
      <c r="I153" s="151"/>
      <c r="J153" s="847"/>
    </row>
    <row r="154" spans="1:10" x14ac:dyDescent="0.2">
      <c r="A154" s="4"/>
      <c r="B154" s="19" t="s">
        <v>102</v>
      </c>
      <c r="C154" s="141">
        <v>1</v>
      </c>
      <c r="D154" s="1246">
        <v>42</v>
      </c>
      <c r="E154" s="65">
        <v>7</v>
      </c>
      <c r="F154" s="283"/>
      <c r="G154" s="176">
        <v>14.5</v>
      </c>
      <c r="H154" s="522"/>
      <c r="I154" s="151"/>
      <c r="J154" s="847"/>
    </row>
    <row r="155" spans="1:10" x14ac:dyDescent="0.2">
      <c r="A155" s="4"/>
      <c r="B155" s="19" t="s">
        <v>62</v>
      </c>
      <c r="C155" s="141">
        <v>2</v>
      </c>
      <c r="D155" s="1246">
        <v>68.3</v>
      </c>
      <c r="E155" s="65">
        <v>1</v>
      </c>
      <c r="F155" s="176">
        <v>39.26</v>
      </c>
      <c r="G155" s="176">
        <v>29.05</v>
      </c>
      <c r="H155" s="522"/>
      <c r="I155" s="151"/>
      <c r="J155" s="847"/>
    </row>
    <row r="156" spans="1:10" x14ac:dyDescent="0.2">
      <c r="A156" s="4"/>
      <c r="B156" s="53" t="s">
        <v>600</v>
      </c>
      <c r="C156" s="141">
        <v>0.2</v>
      </c>
      <c r="D156" s="1246">
        <v>17.5</v>
      </c>
      <c r="F156" s="176">
        <v>4.76</v>
      </c>
      <c r="G156" s="1031">
        <v>3.98</v>
      </c>
      <c r="H156" s="522"/>
      <c r="I156" s="151" t="s">
        <v>21</v>
      </c>
      <c r="J156" s="847"/>
    </row>
    <row r="157" spans="1:10" x14ac:dyDescent="0.2">
      <c r="A157" s="4"/>
      <c r="B157" s="19" t="s">
        <v>154</v>
      </c>
      <c r="C157" s="32"/>
      <c r="D157" s="231">
        <v>500</v>
      </c>
      <c r="F157" s="173"/>
      <c r="G157" s="173"/>
      <c r="H157" s="173"/>
    </row>
    <row r="158" spans="1:10" x14ac:dyDescent="0.2">
      <c r="A158" s="4"/>
      <c r="C158" s="32"/>
      <c r="D158" s="137"/>
      <c r="F158" s="173"/>
      <c r="G158" s="173"/>
      <c r="H158" s="173"/>
    </row>
    <row r="159" spans="1:10" ht="17.25" customHeight="1" x14ac:dyDescent="0.2">
      <c r="A159" s="4"/>
      <c r="B159" s="521" t="s">
        <v>101</v>
      </c>
      <c r="C159" s="507"/>
      <c r="E159" s="13"/>
      <c r="F159" s="171" t="s">
        <v>119</v>
      </c>
      <c r="G159" s="171" t="s">
        <v>120</v>
      </c>
      <c r="H159" s="49" t="s">
        <v>86</v>
      </c>
    </row>
    <row r="160" spans="1:10" ht="17.25" customHeight="1" x14ac:dyDescent="0.2">
      <c r="A160" s="4"/>
      <c r="B160" s="102"/>
      <c r="C160" s="174" t="s">
        <v>78</v>
      </c>
      <c r="D160" s="139" t="s">
        <v>21</v>
      </c>
      <c r="E160" s="13"/>
      <c r="F160" s="172" t="s">
        <v>21</v>
      </c>
      <c r="G160" s="172" t="s">
        <v>21</v>
      </c>
      <c r="H160" s="172" t="s">
        <v>21</v>
      </c>
    </row>
    <row r="161" spans="1:10" x14ac:dyDescent="0.2">
      <c r="A161" s="223" t="s">
        <v>24</v>
      </c>
      <c r="B161" s="106" t="s">
        <v>477</v>
      </c>
      <c r="C161" s="32" t="s">
        <v>2</v>
      </c>
      <c r="D161" s="1247">
        <v>41</v>
      </c>
      <c r="E161" s="13"/>
      <c r="F161" s="522"/>
      <c r="G161" s="522"/>
      <c r="H161" s="522"/>
      <c r="J161" s="847"/>
    </row>
    <row r="162" spans="1:10" x14ac:dyDescent="0.2">
      <c r="A162" s="223" t="s">
        <v>109</v>
      </c>
      <c r="B162" s="1" t="s">
        <v>190</v>
      </c>
      <c r="C162" s="141">
        <v>3.8</v>
      </c>
      <c r="D162" s="1247">
        <v>23</v>
      </c>
      <c r="E162" s="13"/>
      <c r="F162" s="522"/>
      <c r="G162" s="522"/>
      <c r="H162" s="522"/>
      <c r="J162" s="847"/>
    </row>
    <row r="163" spans="1:10" x14ac:dyDescent="0.2">
      <c r="A163" s="4"/>
      <c r="B163" s="4" t="s">
        <v>475</v>
      </c>
      <c r="C163" s="141">
        <v>1.8</v>
      </c>
      <c r="D163" s="1247">
        <v>101</v>
      </c>
      <c r="E163" s="13"/>
      <c r="F163" s="522"/>
      <c r="G163" s="522"/>
      <c r="H163" s="522"/>
      <c r="J163" s="847"/>
    </row>
    <row r="164" spans="1:10" x14ac:dyDescent="0.2">
      <c r="A164" s="4"/>
      <c r="B164" s="1" t="s">
        <v>90</v>
      </c>
      <c r="C164" s="141">
        <v>1.6</v>
      </c>
      <c r="D164" s="1247">
        <v>90</v>
      </c>
      <c r="E164" s="13"/>
      <c r="F164" s="522"/>
      <c r="G164" s="522"/>
      <c r="H164" s="522"/>
      <c r="J164" s="847"/>
    </row>
    <row r="165" spans="1:10" x14ac:dyDescent="0.2">
      <c r="A165" s="4"/>
      <c r="B165" s="1" t="s">
        <v>92</v>
      </c>
      <c r="C165" s="525">
        <v>0.1</v>
      </c>
      <c r="D165" s="1247">
        <f t="shared" ref="D165:D166" si="9">H165</f>
        <v>14.1</v>
      </c>
      <c r="F165" s="176">
        <v>11.99</v>
      </c>
      <c r="G165" s="176">
        <v>2.0699999999999998</v>
      </c>
      <c r="H165" s="522">
        <f t="shared" ref="H165:H166" si="10">ROUND(F165+G165,1)</f>
        <v>14.1</v>
      </c>
      <c r="J165" s="847"/>
    </row>
    <row r="166" spans="1:10" x14ac:dyDescent="0.2">
      <c r="A166" s="4"/>
      <c r="B166" s="1" t="s">
        <v>450</v>
      </c>
      <c r="C166" s="525"/>
      <c r="D166" s="1247">
        <f t="shared" si="9"/>
        <v>23.5</v>
      </c>
      <c r="F166" s="1009">
        <v>20.22</v>
      </c>
      <c r="G166" s="1009">
        <v>3.24</v>
      </c>
      <c r="H166" s="522">
        <f t="shared" si="10"/>
        <v>23.5</v>
      </c>
      <c r="J166" s="847"/>
    </row>
    <row r="167" spans="1:10" x14ac:dyDescent="0.2">
      <c r="B167" t="s">
        <v>25</v>
      </c>
      <c r="D167" s="1007">
        <v>500</v>
      </c>
      <c r="H167" s="173"/>
      <c r="I167" s="173"/>
      <c r="J167" s="847"/>
    </row>
    <row r="168" spans="1:10" x14ac:dyDescent="0.2">
      <c r="B168" t="str">
        <f>B156</f>
        <v>Hebebühne schwer, selbstfahrend, elektrisch</v>
      </c>
      <c r="C168" s="141">
        <f>C156</f>
        <v>0.2</v>
      </c>
      <c r="D168" s="1235">
        <f>D156</f>
        <v>17.5</v>
      </c>
      <c r="H168" s="173"/>
      <c r="I168" s="173"/>
      <c r="J168" s="173"/>
    </row>
    <row r="169" spans="1:10" x14ac:dyDescent="0.2">
      <c r="B169" s="216" t="s">
        <v>449</v>
      </c>
      <c r="C169" s="1006" t="s">
        <v>465</v>
      </c>
      <c r="D169" s="1236">
        <v>150</v>
      </c>
      <c r="H169" s="173"/>
      <c r="I169" s="173"/>
      <c r="J169" s="173"/>
    </row>
    <row r="170" spans="1:10" s="1" customFormat="1" x14ac:dyDescent="0.2">
      <c r="B170" s="23"/>
      <c r="D170" s="1008"/>
      <c r="E170" s="46"/>
      <c r="F170" s="46"/>
      <c r="H170" s="522"/>
      <c r="I170" s="522"/>
      <c r="J170" s="522"/>
    </row>
    <row r="171" spans="1:10" ht="26.25" x14ac:dyDescent="0.4">
      <c r="A171" s="439" t="s">
        <v>17</v>
      </c>
      <c r="B171" s="437"/>
      <c r="C171" s="441"/>
      <c r="D171" s="442"/>
      <c r="E171" s="442"/>
      <c r="F171" s="442"/>
      <c r="G171" s="437"/>
      <c r="H171" s="437"/>
      <c r="I171" s="437"/>
    </row>
    <row r="172" spans="1:10" x14ac:dyDescent="0.2">
      <c r="C172" s="294" t="s">
        <v>210</v>
      </c>
      <c r="D172" s="49" t="s">
        <v>209</v>
      </c>
    </row>
    <row r="173" spans="1:10" ht="25.5" x14ac:dyDescent="0.2">
      <c r="A173" s="64" t="s">
        <v>207</v>
      </c>
      <c r="B173" s="297" t="s">
        <v>211</v>
      </c>
      <c r="C173" s="24">
        <v>10</v>
      </c>
      <c r="D173" s="65">
        <v>15</v>
      </c>
      <c r="E173" s="151" t="s">
        <v>212</v>
      </c>
    </row>
    <row r="174" spans="1:10" ht="18" customHeight="1" x14ac:dyDescent="0.2">
      <c r="B174" t="s">
        <v>208</v>
      </c>
      <c r="C174" s="295">
        <v>0</v>
      </c>
      <c r="D174" s="296">
        <v>15</v>
      </c>
    </row>
    <row r="175" spans="1:10" x14ac:dyDescent="0.2">
      <c r="C175" s="505">
        <f>SUM(C173:C174)</f>
        <v>10</v>
      </c>
      <c r="D175" s="501">
        <f>((C173*D173)+(C174*D174))/C175</f>
        <v>15</v>
      </c>
    </row>
    <row r="176" spans="1:10" x14ac:dyDescent="0.2">
      <c r="A176" s="64" t="s">
        <v>200</v>
      </c>
      <c r="E176" s="49" t="s">
        <v>197</v>
      </c>
    </row>
    <row r="177" spans="2:7" x14ac:dyDescent="0.2">
      <c r="B177" t="s">
        <v>198</v>
      </c>
      <c r="E177" s="277">
        <v>200</v>
      </c>
      <c r="G177" s="12"/>
    </row>
    <row r="178" spans="2:7" x14ac:dyDescent="0.2">
      <c r="B178" t="s">
        <v>199</v>
      </c>
      <c r="E178" s="277">
        <v>100</v>
      </c>
    </row>
  </sheetData>
  <mergeCells count="8">
    <mergeCell ref="H140:I140"/>
    <mergeCell ref="B2:F2"/>
    <mergeCell ref="A5:B5"/>
    <mergeCell ref="A107:B107"/>
    <mergeCell ref="C107:G107"/>
    <mergeCell ref="C5:G5"/>
    <mergeCell ref="B3:I3"/>
    <mergeCell ref="B14:H14"/>
  </mergeCells>
  <phoneticPr fontId="24" type="noConversion"/>
  <dataValidations count="2">
    <dataValidation type="custom" showErrorMessage="1" errorTitle="Falsche Bruttofläche" error="Die Bruttofläche entspricht nicht 10000 m2" sqref="J112 B21" xr:uid="{00000000-0002-0000-0700-000000000000}">
      <formula1>B20*B21=10000</formula1>
    </dataValidation>
    <dataValidation type="whole" operator="notEqual" showErrorMessage="1" errorTitle="Falsche Länge" error="Es muss eine Länge eingetragen sein" sqref="J111 E12 B20" xr:uid="{00000000-0002-0000-0700-000001000000}">
      <formula1>0</formula1>
    </dataValidation>
  </dataValidations>
  <printOptions gridLines="1" gridLinesSet="0"/>
  <pageMargins left="0.59055118110236227" right="0.39370078740157483" top="0.59055118110236227" bottom="0.59055118110236227" header="0.51181102362204722" footer="0.51181102362204722"/>
  <pageSetup paperSize="9" scale="55" orientation="portrait" horizontalDpi="4294967292" verticalDpi="464" r:id="rId1"/>
  <headerFooter alignWithMargins="0">
    <oddFooter>&amp;L&amp;6&amp;F&amp;C&amp;6&amp;A  &amp;D&amp;R&amp;6Kontakt: patrik.mouron@faw.admin.ch</oddFooter>
  </headerFooter>
  <rowBreaks count="1" manualBreakCount="1">
    <brk id="97" max="16383" man="1"/>
  </row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0080"/>
  </sheetPr>
  <dimension ref="A1:H114"/>
  <sheetViews>
    <sheetView workbookViewId="0">
      <selection activeCell="J5" sqref="J5"/>
    </sheetView>
  </sheetViews>
  <sheetFormatPr baseColWidth="10" defaultRowHeight="12.75" x14ac:dyDescent="0.2"/>
  <cols>
    <col min="1" max="1" width="28.28515625" customWidth="1"/>
    <col min="2" max="256" width="9.140625" customWidth="1"/>
  </cols>
  <sheetData>
    <row r="1" spans="1:8" ht="21.75" customHeight="1" x14ac:dyDescent="0.25">
      <c r="A1" s="443" t="str">
        <f>'Standard Vorgaben'!A1</f>
        <v>Arbokost 2023</v>
      </c>
      <c r="B1" s="1168"/>
      <c r="C1" s="1165"/>
      <c r="D1" s="1163"/>
      <c r="E1" s="1164"/>
      <c r="F1" s="1163"/>
      <c r="G1" s="1169"/>
      <c r="H1" s="1051"/>
    </row>
    <row r="2" spans="1:8" ht="14.25" x14ac:dyDescent="0.2">
      <c r="A2" s="1170" t="s">
        <v>569</v>
      </c>
      <c r="B2" s="1171"/>
      <c r="C2" s="1165"/>
      <c r="D2" s="1163"/>
      <c r="E2" s="1164"/>
      <c r="F2" s="1163"/>
      <c r="G2" s="1169"/>
      <c r="H2" s="1051"/>
    </row>
    <row r="3" spans="1:8" x14ac:dyDescent="0.2">
      <c r="A3" s="1172"/>
      <c r="B3" s="1290"/>
      <c r="C3" s="1290"/>
      <c r="D3" s="1290"/>
      <c r="E3" s="1290"/>
      <c r="F3" s="1290"/>
      <c r="G3" s="1173"/>
      <c r="H3" s="1051"/>
    </row>
    <row r="4" spans="1:8" x14ac:dyDescent="0.2">
      <c r="A4" s="1291" t="s">
        <v>570</v>
      </c>
      <c r="B4" s="1291"/>
      <c r="C4" s="1291" t="s">
        <v>566</v>
      </c>
      <c r="D4" s="1291"/>
      <c r="E4" s="1291"/>
      <c r="F4" s="1291"/>
      <c r="G4" s="1291"/>
      <c r="H4" s="1291"/>
    </row>
    <row r="5" spans="1:8" ht="22.5" x14ac:dyDescent="0.45">
      <c r="A5" s="1291" t="s">
        <v>571</v>
      </c>
      <c r="B5" s="1291"/>
      <c r="C5" s="1291"/>
      <c r="D5" s="1291"/>
      <c r="E5" s="1291"/>
      <c r="F5" s="1291"/>
      <c r="G5" s="1291"/>
      <c r="H5" s="1291"/>
    </row>
    <row r="6" spans="1:8" x14ac:dyDescent="0.2">
      <c r="A6" s="1255" t="s">
        <v>612</v>
      </c>
      <c r="C6" s="1256">
        <v>0.18</v>
      </c>
    </row>
    <row r="7" spans="1:8" x14ac:dyDescent="0.2">
      <c r="A7" s="1248"/>
      <c r="B7" s="1161"/>
      <c r="C7" s="1160"/>
      <c r="D7" s="1146" t="s">
        <v>11</v>
      </c>
      <c r="E7" s="1159"/>
      <c r="F7" s="1146" t="s">
        <v>12</v>
      </c>
      <c r="G7" s="1158"/>
      <c r="H7" s="1146" t="s">
        <v>197</v>
      </c>
    </row>
    <row r="8" spans="1:8" x14ac:dyDescent="0.2">
      <c r="A8" s="1117"/>
      <c r="B8" s="1117"/>
      <c r="C8" s="1116">
        <f>'Standard Vorgaben'!C20</f>
        <v>120</v>
      </c>
      <c r="D8" s="1115">
        <f>'Standard Vorgaben'!C21</f>
        <v>75</v>
      </c>
      <c r="E8" s="1114">
        <f>'Standard Vorgaben'!C25</f>
        <v>23</v>
      </c>
      <c r="F8" s="1051"/>
      <c r="G8" s="1113">
        <f>'Standard Vorgaben'!C23</f>
        <v>3.3</v>
      </c>
      <c r="H8" s="1112">
        <f>'Standard Vorgaben'!C24</f>
        <v>1.45</v>
      </c>
    </row>
    <row r="9" spans="1:8" x14ac:dyDescent="0.2">
      <c r="A9" s="1125" t="s">
        <v>552</v>
      </c>
      <c r="B9" s="1123" t="s">
        <v>572</v>
      </c>
      <c r="C9" s="1123"/>
      <c r="D9" s="1123"/>
      <c r="E9" s="1155"/>
      <c r="F9" s="1127"/>
      <c r="G9" s="1127"/>
      <c r="H9" s="1124"/>
    </row>
    <row r="10" spans="1:8" x14ac:dyDescent="0.2">
      <c r="A10" s="1157" t="s">
        <v>563</v>
      </c>
      <c r="B10" s="1123" t="s">
        <v>573</v>
      </c>
      <c r="C10" s="1123"/>
      <c r="D10" s="1156"/>
      <c r="E10" s="1155"/>
      <c r="F10" s="1127"/>
      <c r="G10" s="1127"/>
      <c r="H10" s="1118"/>
    </row>
    <row r="11" spans="1:8" x14ac:dyDescent="0.2">
      <c r="A11" s="1123"/>
      <c r="B11" s="1123" t="s">
        <v>574</v>
      </c>
      <c r="C11" s="1123"/>
      <c r="D11" s="1156">
        <f>((C8*E8)+50)</f>
        <v>2810</v>
      </c>
      <c r="E11" s="1155"/>
      <c r="F11" s="1190">
        <f>1.35*(1+C6)</f>
        <v>1.593</v>
      </c>
      <c r="G11" s="1127"/>
      <c r="H11" s="1118">
        <f>F11*D11</f>
        <v>4476.33</v>
      </c>
    </row>
    <row r="12" spans="1:8" x14ac:dyDescent="0.2">
      <c r="A12" s="1123"/>
      <c r="B12" s="1052" t="s">
        <v>562</v>
      </c>
      <c r="C12" s="1123"/>
      <c r="D12" s="1156"/>
      <c r="E12" s="1155"/>
      <c r="F12" s="1127"/>
      <c r="G12" s="1127"/>
      <c r="H12" s="1118"/>
    </row>
    <row r="13" spans="1:8" x14ac:dyDescent="0.2">
      <c r="A13" s="1123"/>
      <c r="B13" s="1154" t="s">
        <v>548</v>
      </c>
      <c r="C13" s="1153"/>
      <c r="D13" s="1174">
        <f>E8</f>
        <v>23</v>
      </c>
      <c r="E13" s="1106"/>
      <c r="F13" s="1072">
        <f>7*(1+C6)</f>
        <v>8.26</v>
      </c>
      <c r="G13" s="1127"/>
      <c r="H13" s="1118">
        <f>F13*D13</f>
        <v>189.98</v>
      </c>
    </row>
    <row r="14" spans="1:8" x14ac:dyDescent="0.2">
      <c r="A14" s="1123"/>
      <c r="B14" s="1052" t="s">
        <v>561</v>
      </c>
      <c r="C14" s="1123"/>
      <c r="D14" s="1174">
        <f>E8</f>
        <v>23</v>
      </c>
      <c r="E14" s="1106"/>
      <c r="F14" s="1072">
        <f>6.5*(1+C6)</f>
        <v>7.67</v>
      </c>
      <c r="G14" s="1127"/>
      <c r="H14" s="1118">
        <f>F14*D14</f>
        <v>176.41</v>
      </c>
    </row>
    <row r="15" spans="1:8" x14ac:dyDescent="0.2">
      <c r="A15" s="1123"/>
      <c r="B15" s="1052" t="s">
        <v>560</v>
      </c>
      <c r="C15" s="1123"/>
      <c r="D15" s="1174">
        <v>5000</v>
      </c>
      <c r="E15" s="1106"/>
      <c r="F15" s="1072">
        <f>0.06*(1+C6)</f>
        <v>7.0799999999999988E-2</v>
      </c>
      <c r="G15" s="1127"/>
      <c r="H15" s="1118">
        <f>F15*D15</f>
        <v>353.99999999999994</v>
      </c>
    </row>
    <row r="16" spans="1:8" ht="13.5" thickBot="1" x14ac:dyDescent="0.25">
      <c r="A16" s="1123"/>
      <c r="B16" s="1123" t="s">
        <v>440</v>
      </c>
      <c r="C16" s="1123"/>
      <c r="D16" s="1174"/>
      <c r="E16" s="1106"/>
      <c r="F16" s="1072"/>
      <c r="G16" s="1127"/>
      <c r="H16" s="1118">
        <v>250</v>
      </c>
    </row>
    <row r="17" spans="1:8" x14ac:dyDescent="0.2">
      <c r="A17" s="1125" t="s">
        <v>545</v>
      </c>
      <c r="B17" s="1125"/>
      <c r="C17" s="1125"/>
      <c r="D17" s="1175"/>
      <c r="E17" s="1102"/>
      <c r="F17" s="1149"/>
      <c r="G17" s="1132"/>
      <c r="H17" s="1131">
        <f>SUM(H11:H16)</f>
        <v>5446.7199999999993</v>
      </c>
    </row>
    <row r="18" spans="1:8" x14ac:dyDescent="0.2">
      <c r="A18" s="1123" t="s">
        <v>544</v>
      </c>
      <c r="B18" s="1123" t="s">
        <v>543</v>
      </c>
      <c r="C18" s="1123"/>
      <c r="D18" s="1174"/>
      <c r="E18" s="1106"/>
      <c r="F18" s="1072"/>
      <c r="G18" s="1127"/>
      <c r="H18" s="1118"/>
    </row>
    <row r="19" spans="1:8" x14ac:dyDescent="0.2">
      <c r="A19" s="1123"/>
      <c r="B19" s="1123" t="s">
        <v>542</v>
      </c>
      <c r="C19" s="1123"/>
      <c r="D19" s="1107">
        <v>300</v>
      </c>
      <c r="E19" s="1106"/>
      <c r="F19" s="1072">
        <f>3.8*(1+C6)</f>
        <v>4.484</v>
      </c>
      <c r="G19" s="1127"/>
      <c r="H19" s="1118">
        <f>F19*D19</f>
        <v>1345.2</v>
      </c>
    </row>
    <row r="20" spans="1:8" x14ac:dyDescent="0.2">
      <c r="A20" s="1123"/>
      <c r="B20" s="1052" t="s">
        <v>541</v>
      </c>
      <c r="C20" s="1123"/>
      <c r="D20" s="1105">
        <v>3</v>
      </c>
      <c r="E20" s="1104"/>
      <c r="F20" s="1072">
        <f>60*(1+C6)</f>
        <v>70.8</v>
      </c>
      <c r="G20" s="1127"/>
      <c r="H20" s="1118">
        <f>F20*D20</f>
        <v>212.39999999999998</v>
      </c>
    </row>
    <row r="21" spans="1:8" ht="13.5" thickBot="1" x14ac:dyDescent="0.25">
      <c r="A21" s="1123"/>
      <c r="B21" s="1123" t="s">
        <v>532</v>
      </c>
      <c r="C21" s="1123"/>
      <c r="D21" s="1079"/>
      <c r="E21" s="1079"/>
      <c r="F21" s="1079"/>
      <c r="G21" s="1123"/>
      <c r="H21" s="1126">
        <v>250</v>
      </c>
    </row>
    <row r="22" spans="1:8" x14ac:dyDescent="0.2">
      <c r="A22" s="1125" t="s">
        <v>540</v>
      </c>
      <c r="B22" s="1054"/>
      <c r="C22" s="1125"/>
      <c r="D22" s="1151"/>
      <c r="E22" s="1150"/>
      <c r="F22" s="1149"/>
      <c r="G22" s="1132"/>
      <c r="H22" s="1124">
        <f>SUM(H19:H21)</f>
        <v>1807.6</v>
      </c>
    </row>
    <row r="23" spans="1:8" x14ac:dyDescent="0.2">
      <c r="A23" s="1123" t="s">
        <v>539</v>
      </c>
      <c r="B23" s="1123" t="s">
        <v>538</v>
      </c>
      <c r="C23" s="1123"/>
      <c r="D23" s="1105">
        <v>1</v>
      </c>
      <c r="E23" s="1104"/>
      <c r="F23" s="1072">
        <f>300*(1+C6)</f>
        <v>354</v>
      </c>
      <c r="G23" s="1127"/>
      <c r="H23" s="1118">
        <f t="shared" ref="H23:H28" si="0">F23*D23</f>
        <v>354</v>
      </c>
    </row>
    <row r="24" spans="1:8" x14ac:dyDescent="0.2">
      <c r="A24" s="1123"/>
      <c r="B24" s="1052" t="s">
        <v>537</v>
      </c>
      <c r="C24" s="1123"/>
      <c r="D24" s="1105">
        <v>1</v>
      </c>
      <c r="E24" s="1104"/>
      <c r="F24" s="1072">
        <f>120*(1+C6)</f>
        <v>141.6</v>
      </c>
      <c r="G24" s="1127"/>
      <c r="H24" s="1118">
        <f t="shared" si="0"/>
        <v>141.6</v>
      </c>
    </row>
    <row r="25" spans="1:8" x14ac:dyDescent="0.2">
      <c r="A25" s="1123"/>
      <c r="B25" s="1123" t="s">
        <v>559</v>
      </c>
      <c r="C25" s="1123"/>
      <c r="D25" s="1105">
        <v>1</v>
      </c>
      <c r="E25" s="1104"/>
      <c r="F25" s="1072">
        <f>75*(1+C6)</f>
        <v>88.5</v>
      </c>
      <c r="G25" s="1127"/>
      <c r="H25" s="1118">
        <f t="shared" si="0"/>
        <v>88.5</v>
      </c>
    </row>
    <row r="26" spans="1:8" x14ac:dyDescent="0.2">
      <c r="A26" s="1123"/>
      <c r="B26" s="1123" t="s">
        <v>535</v>
      </c>
      <c r="C26" s="1123"/>
      <c r="D26" s="1105">
        <v>1</v>
      </c>
      <c r="E26" s="1104"/>
      <c r="F26" s="1072">
        <f>70*(1+C6)</f>
        <v>82.6</v>
      </c>
      <c r="G26" s="1127"/>
      <c r="H26" s="1118">
        <f t="shared" si="0"/>
        <v>82.6</v>
      </c>
    </row>
    <row r="27" spans="1:8" x14ac:dyDescent="0.2">
      <c r="A27" s="1123"/>
      <c r="B27" s="1123" t="s">
        <v>534</v>
      </c>
      <c r="C27" s="1123"/>
      <c r="D27" s="1105">
        <v>2</v>
      </c>
      <c r="E27" s="1104"/>
      <c r="F27" s="1072">
        <f>130*(1+C6)</f>
        <v>153.4</v>
      </c>
      <c r="G27" s="1127"/>
      <c r="H27" s="1118">
        <f t="shared" si="0"/>
        <v>306.8</v>
      </c>
    </row>
    <row r="28" spans="1:8" x14ac:dyDescent="0.2">
      <c r="A28" s="1123"/>
      <c r="B28" s="1123" t="s">
        <v>533</v>
      </c>
      <c r="C28" s="1123"/>
      <c r="D28" s="1105">
        <v>1</v>
      </c>
      <c r="E28" s="1104"/>
      <c r="F28" s="1072">
        <f>350*(1+C6)</f>
        <v>413</v>
      </c>
      <c r="G28" s="1127"/>
      <c r="H28" s="1118">
        <f t="shared" si="0"/>
        <v>413</v>
      </c>
    </row>
    <row r="29" spans="1:8" ht="13.5" thickBot="1" x14ac:dyDescent="0.25">
      <c r="A29" s="1123"/>
      <c r="B29" s="1052" t="s">
        <v>532</v>
      </c>
      <c r="C29" s="1123"/>
      <c r="D29" s="1079"/>
      <c r="E29" s="1079"/>
      <c r="F29" s="1079"/>
      <c r="G29" s="1123"/>
      <c r="H29" s="1118">
        <v>100</v>
      </c>
    </row>
    <row r="30" spans="1:8" x14ac:dyDescent="0.2">
      <c r="A30" s="1125" t="s">
        <v>531</v>
      </c>
      <c r="B30" s="1054"/>
      <c r="C30" s="1125"/>
      <c r="D30" s="1151"/>
      <c r="E30" s="1150"/>
      <c r="F30" s="1149"/>
      <c r="G30" s="1132"/>
      <c r="H30" s="1131">
        <f>SUM(H23:H29)</f>
        <v>1486.5</v>
      </c>
    </row>
    <row r="31" spans="1:8" ht="13.5" thickBot="1" x14ac:dyDescent="0.25">
      <c r="A31" s="1123" t="s">
        <v>529</v>
      </c>
      <c r="B31" s="1123" t="s">
        <v>528</v>
      </c>
      <c r="C31" s="1123"/>
      <c r="D31" s="1105">
        <v>1</v>
      </c>
      <c r="E31" s="1104"/>
      <c r="F31" s="1072">
        <f>1250*(1+C6)</f>
        <v>1475</v>
      </c>
      <c r="G31" s="1127"/>
      <c r="H31" s="1118"/>
    </row>
    <row r="32" spans="1:8" x14ac:dyDescent="0.2">
      <c r="A32" s="1125" t="s">
        <v>558</v>
      </c>
      <c r="B32" s="1054"/>
      <c r="C32" s="1125"/>
      <c r="D32" s="1134"/>
      <c r="E32" s="1148"/>
      <c r="G32" s="1132"/>
      <c r="H32" s="1131">
        <f>SUM(H17,H22,H30,H31)</f>
        <v>8740.82</v>
      </c>
    </row>
    <row r="33" spans="1:8" x14ac:dyDescent="0.2">
      <c r="A33" s="1123" t="s">
        <v>526</v>
      </c>
      <c r="B33" s="1052"/>
      <c r="C33" s="1123"/>
      <c r="D33" s="1130"/>
      <c r="E33" s="1143"/>
      <c r="F33" s="1127"/>
      <c r="G33" s="1127"/>
      <c r="H33" s="1118"/>
    </row>
    <row r="34" spans="1:8" x14ac:dyDescent="0.2">
      <c r="A34" s="1123"/>
      <c r="B34" s="1052" t="s">
        <v>64</v>
      </c>
      <c r="C34" s="1147"/>
      <c r="D34" s="1146" t="s">
        <v>11</v>
      </c>
      <c r="E34" s="1146" t="s">
        <v>525</v>
      </c>
      <c r="F34" s="1146" t="s">
        <v>524</v>
      </c>
      <c r="G34" s="1146"/>
      <c r="H34" s="1146" t="s">
        <v>197</v>
      </c>
    </row>
    <row r="35" spans="1:8" x14ac:dyDescent="0.2">
      <c r="A35" s="1123"/>
      <c r="B35" s="1052"/>
      <c r="C35" s="1123"/>
      <c r="D35" s="1130"/>
      <c r="E35" s="1143"/>
      <c r="F35" s="1127"/>
      <c r="G35" s="1145" t="s">
        <v>21</v>
      </c>
      <c r="H35" s="1144" t="s">
        <v>86</v>
      </c>
    </row>
    <row r="36" spans="1:8" x14ac:dyDescent="0.2">
      <c r="A36" s="1123" t="s">
        <v>522</v>
      </c>
      <c r="B36" s="1052" t="s">
        <v>521</v>
      </c>
      <c r="C36" s="1123"/>
      <c r="D36" s="1130"/>
      <c r="E36" s="1143">
        <v>10</v>
      </c>
      <c r="F36" s="1127">
        <v>2</v>
      </c>
      <c r="G36" s="1127"/>
      <c r="H36" s="1118"/>
    </row>
    <row r="37" spans="1:8" x14ac:dyDescent="0.2">
      <c r="A37" s="1125"/>
      <c r="B37" s="1123" t="s">
        <v>520</v>
      </c>
      <c r="C37" s="1142">
        <v>6.5</v>
      </c>
      <c r="D37" s="1176">
        <f>D19</f>
        <v>300</v>
      </c>
      <c r="E37" s="1081"/>
      <c r="F37" s="1081"/>
      <c r="G37" s="1138">
        <f>C37</f>
        <v>6.5</v>
      </c>
      <c r="H37" s="1118">
        <f>G37*D37</f>
        <v>1950</v>
      </c>
    </row>
    <row r="38" spans="1:8" x14ac:dyDescent="0.2">
      <c r="A38" s="1123"/>
      <c r="B38" s="1123" t="s">
        <v>519</v>
      </c>
      <c r="C38" s="1140"/>
      <c r="D38" s="1086">
        <v>1</v>
      </c>
      <c r="E38" s="1081">
        <v>25</v>
      </c>
      <c r="F38" s="1081">
        <v>4</v>
      </c>
      <c r="G38" s="1138">
        <v>13.6</v>
      </c>
      <c r="H38" s="1118">
        <f>G38*F38</f>
        <v>54.4</v>
      </c>
    </row>
    <row r="39" spans="1:8" x14ac:dyDescent="0.2">
      <c r="A39" s="1123"/>
      <c r="B39" s="1123" t="s">
        <v>518</v>
      </c>
      <c r="C39" s="1141"/>
      <c r="D39" s="1086"/>
      <c r="E39" s="1081">
        <v>35</v>
      </c>
      <c r="F39" s="1081"/>
      <c r="G39" s="1138"/>
      <c r="H39" s="1118"/>
    </row>
    <row r="40" spans="1:8" x14ac:dyDescent="0.2">
      <c r="A40" s="1123"/>
      <c r="B40" s="1123" t="s">
        <v>516</v>
      </c>
      <c r="C40" s="1141"/>
      <c r="D40" s="1086"/>
      <c r="E40" s="1081">
        <v>18</v>
      </c>
      <c r="F40" s="1081"/>
      <c r="G40" s="1138"/>
      <c r="H40" s="1118"/>
    </row>
    <row r="41" spans="1:8" x14ac:dyDescent="0.2">
      <c r="A41" s="1123"/>
      <c r="B41" s="1123" t="s">
        <v>515</v>
      </c>
      <c r="C41" s="1140"/>
      <c r="D41" s="1085"/>
      <c r="E41" s="1081">
        <v>3</v>
      </c>
      <c r="F41" s="1081"/>
      <c r="G41" s="1138"/>
      <c r="H41" s="1118"/>
    </row>
    <row r="42" spans="1:8" x14ac:dyDescent="0.2">
      <c r="A42" s="1123"/>
      <c r="B42" s="1123" t="s">
        <v>449</v>
      </c>
      <c r="C42" s="1139">
        <v>125</v>
      </c>
      <c r="D42" s="1073">
        <v>3</v>
      </c>
      <c r="E42" s="1081">
        <v>3</v>
      </c>
      <c r="F42" s="1079"/>
      <c r="G42" s="1138">
        <v>3</v>
      </c>
      <c r="H42" s="1118">
        <f>G42*C42</f>
        <v>375</v>
      </c>
    </row>
    <row r="43" spans="1:8" ht="13.5" thickBot="1" x14ac:dyDescent="0.25">
      <c r="A43" s="1125" t="s">
        <v>514</v>
      </c>
      <c r="B43" s="1137">
        <v>0.1</v>
      </c>
      <c r="C43" s="1136" t="s">
        <v>513</v>
      </c>
      <c r="D43" s="1079"/>
      <c r="E43" s="1177">
        <f>SUM(E36:E42)*B43</f>
        <v>9.4</v>
      </c>
      <c r="F43" s="1177">
        <f>SUM(F36:F42)*B43</f>
        <v>0.60000000000000009</v>
      </c>
      <c r="G43" s="1135"/>
      <c r="H43" s="1118"/>
    </row>
    <row r="44" spans="1:8" x14ac:dyDescent="0.2">
      <c r="A44" s="1125" t="s">
        <v>512</v>
      </c>
      <c r="B44" s="1125"/>
      <c r="C44" s="1125"/>
      <c r="D44" s="1134"/>
      <c r="E44" s="1133">
        <f>SUM(E36:E43)</f>
        <v>103.4</v>
      </c>
      <c r="F44" s="1132">
        <f>SUM(F36:F43)</f>
        <v>6.6</v>
      </c>
      <c r="G44" s="1132"/>
      <c r="H44" s="1131">
        <f>SUM(H36:H43)</f>
        <v>2379.4</v>
      </c>
    </row>
    <row r="45" spans="1:8" x14ac:dyDescent="0.2">
      <c r="A45" s="1123" t="s">
        <v>511</v>
      </c>
      <c r="B45" s="1123"/>
      <c r="C45" s="1123"/>
      <c r="D45" s="1130"/>
      <c r="E45" s="1129"/>
      <c r="F45" s="1127"/>
      <c r="G45" s="1127"/>
      <c r="H45" s="1118"/>
    </row>
    <row r="46" spans="1:8" x14ac:dyDescent="0.2">
      <c r="A46" s="1123" t="s">
        <v>510</v>
      </c>
      <c r="B46" s="1123"/>
      <c r="C46" s="1123"/>
      <c r="D46" s="1130"/>
      <c r="E46" s="1129"/>
      <c r="F46" s="1127"/>
      <c r="G46" s="1127"/>
      <c r="H46" s="1118">
        <f>H32</f>
        <v>8740.82</v>
      </c>
    </row>
    <row r="47" spans="1:8" x14ac:dyDescent="0.2">
      <c r="A47" s="1123" t="s">
        <v>509</v>
      </c>
      <c r="B47" s="1123" t="s">
        <v>508</v>
      </c>
      <c r="C47" s="1123" t="s">
        <v>507</v>
      </c>
      <c r="D47" s="1105">
        <f>F44</f>
        <v>6.6</v>
      </c>
      <c r="E47" s="1104" t="s">
        <v>504</v>
      </c>
      <c r="F47" s="1072">
        <v>27.5</v>
      </c>
      <c r="G47" s="1127"/>
      <c r="H47" s="1118">
        <f>((D47*F47)+H44)</f>
        <v>2560.9</v>
      </c>
    </row>
    <row r="48" spans="1:8" ht="13.5" thickBot="1" x14ac:dyDescent="0.25">
      <c r="A48" s="1123" t="s">
        <v>506</v>
      </c>
      <c r="B48" s="1123"/>
      <c r="C48" s="1123" t="s">
        <v>505</v>
      </c>
      <c r="D48" s="1105">
        <f>E44</f>
        <v>103.4</v>
      </c>
      <c r="E48" s="1104" t="s">
        <v>504</v>
      </c>
      <c r="F48" s="1072">
        <f>'[1]Standard Vorgaben'!$C$36</f>
        <v>32.700000000000003</v>
      </c>
      <c r="G48" s="1127"/>
      <c r="H48" s="1126">
        <f>D48*F48</f>
        <v>3381.1800000000003</v>
      </c>
    </row>
    <row r="49" spans="1:8" x14ac:dyDescent="0.2">
      <c r="A49" s="1125" t="s">
        <v>557</v>
      </c>
      <c r="B49" s="1123"/>
      <c r="C49" s="1123"/>
      <c r="D49" s="1105"/>
      <c r="E49" s="1104"/>
      <c r="F49" s="1072"/>
      <c r="G49" s="1127"/>
      <c r="H49" s="1124">
        <f>SUM(H46:H48)</f>
        <v>14682.9</v>
      </c>
    </row>
    <row r="50" spans="1:8" x14ac:dyDescent="0.2">
      <c r="A50" s="1123" t="s">
        <v>495</v>
      </c>
      <c r="B50" s="1123"/>
      <c r="C50" s="1123" t="s">
        <v>494</v>
      </c>
      <c r="D50" s="1105"/>
      <c r="E50" s="1104"/>
      <c r="F50" s="1072"/>
      <c r="G50" s="1127"/>
      <c r="H50" s="1118">
        <v>50</v>
      </c>
    </row>
    <row r="51" spans="1:8" x14ac:dyDescent="0.2">
      <c r="A51" s="1123" t="s">
        <v>493</v>
      </c>
      <c r="B51" s="1123"/>
      <c r="C51" s="1122" t="s">
        <v>492</v>
      </c>
      <c r="D51" s="1058"/>
      <c r="E51" s="1128">
        <v>4</v>
      </c>
      <c r="F51" s="1072">
        <f>'[1]Standard Vorgaben'!$C$36</f>
        <v>32.700000000000003</v>
      </c>
      <c r="G51" s="1119"/>
      <c r="H51" s="1118">
        <f>E51*F51</f>
        <v>130.80000000000001</v>
      </c>
    </row>
    <row r="52" spans="1:8" x14ac:dyDescent="0.2">
      <c r="A52" s="1123"/>
      <c r="B52" s="1123"/>
      <c r="C52" s="1122" t="s">
        <v>556</v>
      </c>
      <c r="D52" s="1058"/>
      <c r="E52" s="1128"/>
      <c r="F52" s="1062"/>
      <c r="G52" s="1119"/>
      <c r="H52" s="1118">
        <v>300</v>
      </c>
    </row>
    <row r="53" spans="1:8" x14ac:dyDescent="0.2">
      <c r="A53" s="1123"/>
      <c r="B53" s="1123"/>
      <c r="C53" s="1122" t="s">
        <v>491</v>
      </c>
      <c r="D53" s="1058"/>
      <c r="E53" s="1128">
        <v>10</v>
      </c>
      <c r="F53" s="1072">
        <f>'[1]Standard Vorgaben'!$C$36</f>
        <v>32.700000000000003</v>
      </c>
      <c r="G53" s="1119"/>
      <c r="H53" s="1118">
        <f>E53*F53</f>
        <v>327</v>
      </c>
    </row>
    <row r="54" spans="1:8" ht="13.5" thickBot="1" x14ac:dyDescent="0.25">
      <c r="A54" s="1123"/>
      <c r="B54" s="1123"/>
      <c r="C54" s="1123" t="s">
        <v>490</v>
      </c>
      <c r="D54" s="1105"/>
      <c r="E54" s="1065">
        <f>'[1]Standard Vorgaben'!C234</f>
        <v>500</v>
      </c>
      <c r="F54" s="1071">
        <f>'[1]Standard Vorgaben'!C233</f>
        <v>1</v>
      </c>
      <c r="G54" s="1127"/>
      <c r="H54" s="1126">
        <f>E54*F54</f>
        <v>500</v>
      </c>
    </row>
    <row r="55" spans="1:8" x14ac:dyDescent="0.2">
      <c r="A55" s="1125" t="s">
        <v>555</v>
      </c>
      <c r="B55" s="1123"/>
      <c r="C55" s="1122"/>
      <c r="D55" s="1121"/>
      <c r="E55" s="1120"/>
      <c r="F55" s="1119"/>
      <c r="G55" s="1119"/>
      <c r="H55" s="1124">
        <f>SUM(H50:H54)</f>
        <v>1307.8</v>
      </c>
    </row>
    <row r="56" spans="1:8" x14ac:dyDescent="0.2">
      <c r="A56" s="1123"/>
      <c r="B56" s="1123"/>
      <c r="C56" s="1122"/>
      <c r="D56" s="1121"/>
      <c r="E56" s="1120"/>
      <c r="F56" s="1119"/>
      <c r="G56" s="1119"/>
      <c r="H56" s="1118"/>
    </row>
    <row r="57" spans="1:8" x14ac:dyDescent="0.2">
      <c r="A57" s="1123"/>
      <c r="B57" s="1123"/>
      <c r="C57" s="1122"/>
      <c r="D57" s="1121"/>
      <c r="E57" s="1120"/>
      <c r="F57" s="1119"/>
      <c r="G57" s="1119"/>
      <c r="H57" s="1118"/>
    </row>
    <row r="58" spans="1:8" x14ac:dyDescent="0.2">
      <c r="A58" s="1051"/>
      <c r="B58" s="1051"/>
      <c r="C58" s="1051"/>
      <c r="D58" s="1051"/>
      <c r="E58" s="1051"/>
      <c r="F58" s="1051"/>
      <c r="G58" s="1051"/>
      <c r="H58" s="1051"/>
    </row>
    <row r="59" spans="1:8" x14ac:dyDescent="0.2">
      <c r="A59" s="1051"/>
      <c r="B59" s="1051"/>
      <c r="C59" s="1051"/>
      <c r="D59" s="1051"/>
      <c r="E59" s="1051"/>
      <c r="F59" s="1051"/>
      <c r="G59" s="1051"/>
      <c r="H59" s="1051"/>
    </row>
    <row r="60" spans="1:8" x14ac:dyDescent="0.2">
      <c r="A60" s="1291" t="s">
        <v>613</v>
      </c>
      <c r="B60" s="1291"/>
      <c r="C60" s="1291"/>
      <c r="D60" s="1291"/>
      <c r="E60" s="1291"/>
      <c r="F60" s="1291"/>
      <c r="G60" s="1291"/>
      <c r="H60" s="1291"/>
    </row>
    <row r="61" spans="1:8" x14ac:dyDescent="0.2">
      <c r="A61" s="1291" t="s">
        <v>575</v>
      </c>
      <c r="B61" s="1291"/>
      <c r="C61" s="1291"/>
      <c r="D61" s="1178"/>
      <c r="E61" s="1178"/>
      <c r="F61" s="1178"/>
      <c r="G61" s="1178"/>
      <c r="H61" s="1178"/>
    </row>
    <row r="62" spans="1:8" x14ac:dyDescent="0.2">
      <c r="A62" s="1117" t="s">
        <v>553</v>
      </c>
      <c r="B62" s="1117"/>
      <c r="C62" s="1116">
        <f>'Standard Vorgaben'!C20</f>
        <v>120</v>
      </c>
      <c r="D62" s="1115">
        <f>'Standard Vorgaben'!C21</f>
        <v>75</v>
      </c>
      <c r="E62" s="1114">
        <f>'[1]Standard Vorgaben'!$C$23</f>
        <v>25</v>
      </c>
      <c r="F62" s="1051"/>
      <c r="G62" s="1113">
        <f>'Standard Vorgaben'!C23</f>
        <v>3.3</v>
      </c>
      <c r="H62" s="1112">
        <f>'Standard Vorgaben'!C24</f>
        <v>1.45</v>
      </c>
    </row>
    <row r="63" spans="1:8" x14ac:dyDescent="0.2">
      <c r="A63" s="1052" t="s">
        <v>552</v>
      </c>
      <c r="B63" s="1052" t="s">
        <v>551</v>
      </c>
      <c r="C63" s="1052"/>
      <c r="D63" s="1179">
        <f>((E62*C62)+50)</f>
        <v>3050</v>
      </c>
      <c r="E63" s="1110"/>
      <c r="F63" s="1072">
        <f>0.9*(1+C7)</f>
        <v>0.9</v>
      </c>
      <c r="G63" s="1071"/>
      <c r="H63" s="1060">
        <f>F63*D63</f>
        <v>2745</v>
      </c>
    </row>
    <row r="64" spans="1:8" x14ac:dyDescent="0.2">
      <c r="A64" s="1111"/>
      <c r="B64" s="1052" t="s">
        <v>550</v>
      </c>
      <c r="C64" s="1052"/>
      <c r="D64" s="1174">
        <f>'[1]Standard Vorgaben'!C24/2</f>
        <v>1450</v>
      </c>
      <c r="E64" s="1110" t="s">
        <v>549</v>
      </c>
      <c r="F64" s="1072">
        <f>2.6*(1+C7)</f>
        <v>2.6</v>
      </c>
      <c r="G64" s="1071"/>
      <c r="H64" s="1060">
        <f>F64*D64</f>
        <v>3770</v>
      </c>
    </row>
    <row r="65" spans="1:8" x14ac:dyDescent="0.2">
      <c r="A65" s="1052"/>
      <c r="B65" s="1109" t="s">
        <v>548</v>
      </c>
      <c r="C65" s="1108"/>
      <c r="D65" s="1174">
        <f>E62</f>
        <v>25</v>
      </c>
      <c r="E65" s="1106"/>
      <c r="F65" s="1072">
        <f>20.65*(1+C7)</f>
        <v>20.65</v>
      </c>
      <c r="G65" s="1071"/>
      <c r="H65" s="1060">
        <f>F65*D65</f>
        <v>516.25</v>
      </c>
    </row>
    <row r="66" spans="1:8" x14ac:dyDescent="0.2">
      <c r="A66" s="1052"/>
      <c r="B66" s="1052" t="s">
        <v>547</v>
      </c>
      <c r="C66" s="1052"/>
      <c r="D66" s="1174">
        <f>E62</f>
        <v>25</v>
      </c>
      <c r="E66" s="1106"/>
      <c r="F66" s="1072">
        <f>8.5*(1+C7)</f>
        <v>8.5</v>
      </c>
      <c r="G66" s="1071"/>
      <c r="H66" s="1060">
        <f>F66*D66</f>
        <v>212.5</v>
      </c>
    </row>
    <row r="67" spans="1:8" x14ac:dyDescent="0.2">
      <c r="A67" s="1052"/>
      <c r="B67" s="1052" t="s">
        <v>546</v>
      </c>
      <c r="C67" s="1052"/>
      <c r="D67" s="1174">
        <f>D63</f>
        <v>3050</v>
      </c>
      <c r="E67" s="1106"/>
      <c r="F67" s="1072">
        <f>0.078*(1+C7)</f>
        <v>7.8E-2</v>
      </c>
      <c r="G67" s="1071"/>
      <c r="H67" s="1060">
        <f>F67*D67</f>
        <v>237.9</v>
      </c>
    </row>
    <row r="68" spans="1:8" ht="13.5" thickBot="1" x14ac:dyDescent="0.25">
      <c r="A68" s="1052"/>
      <c r="B68" s="1052" t="s">
        <v>440</v>
      </c>
      <c r="C68" s="1052"/>
      <c r="D68" s="1105"/>
      <c r="E68" s="1106"/>
      <c r="F68" s="1072"/>
      <c r="G68" s="1071"/>
      <c r="H68" s="1055">
        <v>250</v>
      </c>
    </row>
    <row r="69" spans="1:8" x14ac:dyDescent="0.2">
      <c r="A69" s="1054" t="s">
        <v>545</v>
      </c>
      <c r="B69" s="1054"/>
      <c r="C69" s="1054"/>
      <c r="D69" s="1103"/>
      <c r="E69" s="1102"/>
      <c r="F69" s="1102"/>
      <c r="G69" s="1095"/>
      <c r="H69" s="1053">
        <f>SUM(H63:H68)</f>
        <v>7731.65</v>
      </c>
    </row>
    <row r="70" spans="1:8" x14ac:dyDescent="0.2">
      <c r="A70" s="1052" t="s">
        <v>544</v>
      </c>
      <c r="B70" s="1052" t="s">
        <v>543</v>
      </c>
      <c r="C70" s="1052"/>
      <c r="D70" s="1105"/>
      <c r="E70" s="1106"/>
      <c r="F70" s="1072"/>
      <c r="G70" s="1071"/>
      <c r="H70" s="1060"/>
    </row>
    <row r="71" spans="1:8" x14ac:dyDescent="0.2">
      <c r="A71" s="1052"/>
      <c r="B71" s="1052" t="s">
        <v>542</v>
      </c>
      <c r="C71" s="1052"/>
      <c r="D71" s="1107">
        <v>300</v>
      </c>
      <c r="E71" s="1106"/>
      <c r="F71" s="1072">
        <f>3.8*(1+C7)</f>
        <v>3.8</v>
      </c>
      <c r="G71" s="1071"/>
      <c r="H71" s="1060">
        <f>F71*D71</f>
        <v>1140</v>
      </c>
    </row>
    <row r="72" spans="1:8" x14ac:dyDescent="0.2">
      <c r="A72" s="1052"/>
      <c r="B72" s="1052" t="s">
        <v>541</v>
      </c>
      <c r="C72" s="1052"/>
      <c r="D72" s="1105">
        <v>2</v>
      </c>
      <c r="E72" s="1104"/>
      <c r="F72" s="1072">
        <f>55*(1+C7)</f>
        <v>55</v>
      </c>
      <c r="G72" s="1071"/>
      <c r="H72" s="1060">
        <f>F72*D72</f>
        <v>110</v>
      </c>
    </row>
    <row r="73" spans="1:8" ht="13.5" thickBot="1" x14ac:dyDescent="0.25">
      <c r="A73" s="1052"/>
      <c r="B73" s="1052" t="s">
        <v>532</v>
      </c>
      <c r="C73" s="1052"/>
      <c r="D73" s="1079"/>
      <c r="E73" s="1079"/>
      <c r="F73" s="1079"/>
      <c r="G73" s="1052"/>
      <c r="H73" s="1055">
        <v>250</v>
      </c>
    </row>
    <row r="74" spans="1:8" x14ac:dyDescent="0.2">
      <c r="A74" s="1054" t="s">
        <v>540</v>
      </c>
      <c r="B74" s="1054"/>
      <c r="C74" s="1054"/>
      <c r="D74" s="1103"/>
      <c r="E74" s="1102"/>
      <c r="F74" s="1102"/>
      <c r="G74" s="1095"/>
      <c r="H74" s="1053">
        <f>SUM(H71:H73)</f>
        <v>1500</v>
      </c>
    </row>
    <row r="75" spans="1:8" x14ac:dyDescent="0.2">
      <c r="A75" s="1052" t="s">
        <v>539</v>
      </c>
      <c r="B75" s="1052" t="s">
        <v>538</v>
      </c>
      <c r="C75" s="1052"/>
      <c r="D75" s="1105">
        <v>1</v>
      </c>
      <c r="E75" s="1104"/>
      <c r="F75" s="1072">
        <f>300*(1+C7)</f>
        <v>300</v>
      </c>
      <c r="G75" s="1071"/>
      <c r="H75" s="1060">
        <f t="shared" ref="H75:H80" si="1">F75*D75</f>
        <v>300</v>
      </c>
    </row>
    <row r="76" spans="1:8" x14ac:dyDescent="0.2">
      <c r="A76" s="1052"/>
      <c r="B76" s="1052" t="s">
        <v>537</v>
      </c>
      <c r="C76" s="1052"/>
      <c r="D76" s="1105">
        <v>1</v>
      </c>
      <c r="E76" s="1104"/>
      <c r="F76" s="1072">
        <f>120*(1+C7)</f>
        <v>120</v>
      </c>
      <c r="G76" s="1071"/>
      <c r="H76" s="1060">
        <f t="shared" si="1"/>
        <v>120</v>
      </c>
    </row>
    <row r="77" spans="1:8" x14ac:dyDescent="0.2">
      <c r="A77" s="1052"/>
      <c r="B77" s="1052" t="s">
        <v>576</v>
      </c>
      <c r="C77" s="1052"/>
      <c r="D77" s="1105">
        <v>1</v>
      </c>
      <c r="E77" s="1104"/>
      <c r="F77" s="1072">
        <f>190*(1+C7)</f>
        <v>190</v>
      </c>
      <c r="G77" s="1071"/>
      <c r="H77" s="1060">
        <f t="shared" si="1"/>
        <v>190</v>
      </c>
    </row>
    <row r="78" spans="1:8" x14ac:dyDescent="0.2">
      <c r="A78" s="1052"/>
      <c r="B78" s="1052" t="s">
        <v>535</v>
      </c>
      <c r="C78" s="1052"/>
      <c r="D78" s="1105">
        <v>1</v>
      </c>
      <c r="E78" s="1104"/>
      <c r="F78" s="1072">
        <f>70*(1+C7)</f>
        <v>70</v>
      </c>
      <c r="G78" s="1071"/>
      <c r="H78" s="1060">
        <f t="shared" si="1"/>
        <v>70</v>
      </c>
    </row>
    <row r="79" spans="1:8" x14ac:dyDescent="0.2">
      <c r="A79" s="1052"/>
      <c r="B79" s="1052" t="s">
        <v>534</v>
      </c>
      <c r="C79" s="1052"/>
      <c r="D79" s="1105">
        <v>4</v>
      </c>
      <c r="E79" s="1104"/>
      <c r="F79" s="1072">
        <f>130*(1+C7)</f>
        <v>130</v>
      </c>
      <c r="G79" s="1071"/>
      <c r="H79" s="1060">
        <f t="shared" si="1"/>
        <v>520</v>
      </c>
    </row>
    <row r="80" spans="1:8" x14ac:dyDescent="0.2">
      <c r="A80" s="1052"/>
      <c r="B80" s="1052" t="s">
        <v>533</v>
      </c>
      <c r="C80" s="1052"/>
      <c r="D80" s="1105">
        <v>1</v>
      </c>
      <c r="E80" s="1104"/>
      <c r="F80" s="1072">
        <f>350*(1+C7)</f>
        <v>350</v>
      </c>
      <c r="G80" s="1071"/>
      <c r="H80" s="1060">
        <f t="shared" si="1"/>
        <v>350</v>
      </c>
    </row>
    <row r="81" spans="1:8" ht="13.5" thickBot="1" x14ac:dyDescent="0.25">
      <c r="A81" s="1052"/>
      <c r="B81" s="1052" t="s">
        <v>532</v>
      </c>
      <c r="C81" s="1052"/>
      <c r="D81" s="1079"/>
      <c r="E81" s="1079"/>
      <c r="F81" s="1079"/>
      <c r="G81" s="1052"/>
      <c r="H81" s="1055">
        <v>100</v>
      </c>
    </row>
    <row r="82" spans="1:8" x14ac:dyDescent="0.2">
      <c r="A82" s="1054" t="s">
        <v>531</v>
      </c>
      <c r="B82" s="1054"/>
      <c r="C82" s="1054"/>
      <c r="D82" s="1103"/>
      <c r="E82" s="1102"/>
      <c r="F82" s="1102"/>
      <c r="G82" s="1095"/>
      <c r="H82" s="1053">
        <f>SUM(H75:H81)</f>
        <v>1650</v>
      </c>
    </row>
    <row r="83" spans="1:8" x14ac:dyDescent="0.2">
      <c r="A83" s="1101" t="s">
        <v>529</v>
      </c>
      <c r="B83" s="1101" t="s">
        <v>530</v>
      </c>
      <c r="C83" s="1101"/>
      <c r="D83" s="1100">
        <v>1</v>
      </c>
      <c r="E83" s="1099"/>
      <c r="F83" s="1098">
        <v>1580</v>
      </c>
      <c r="G83" s="1097"/>
      <c r="H83" s="1053"/>
    </row>
    <row r="84" spans="1:8" x14ac:dyDescent="0.2">
      <c r="A84" s="1101" t="s">
        <v>529</v>
      </c>
      <c r="B84" s="1101" t="s">
        <v>528</v>
      </c>
      <c r="C84" s="1101"/>
      <c r="D84" s="1100">
        <v>1</v>
      </c>
      <c r="E84" s="1099"/>
      <c r="F84" s="1098">
        <v>2250</v>
      </c>
      <c r="G84" s="1097"/>
      <c r="H84" s="1096"/>
    </row>
    <row r="85" spans="1:8" x14ac:dyDescent="0.2">
      <c r="A85" s="1054" t="s">
        <v>527</v>
      </c>
      <c r="B85" s="1054"/>
      <c r="C85" s="1054"/>
      <c r="D85" s="1054"/>
      <c r="E85" s="1095"/>
      <c r="F85" s="1095"/>
      <c r="G85" s="1095"/>
      <c r="H85" s="1053">
        <f>H69+H74+H82+H83+H84</f>
        <v>10881.65</v>
      </c>
    </row>
    <row r="86" spans="1:8" x14ac:dyDescent="0.2">
      <c r="A86" s="1054" t="s">
        <v>526</v>
      </c>
      <c r="B86" s="1052"/>
      <c r="C86" s="1052"/>
      <c r="D86" s="1052"/>
      <c r="E86" s="1052"/>
      <c r="F86" s="1052"/>
      <c r="G86" s="1052"/>
      <c r="H86" s="1060"/>
    </row>
    <row r="87" spans="1:8" x14ac:dyDescent="0.2">
      <c r="A87" s="1054"/>
      <c r="B87" s="1054" t="s">
        <v>64</v>
      </c>
      <c r="C87" s="1093"/>
      <c r="D87" s="1093"/>
      <c r="E87" s="1092" t="s">
        <v>525</v>
      </c>
      <c r="F87" s="1092" t="s">
        <v>524</v>
      </c>
      <c r="G87" s="1092"/>
      <c r="H87" s="1094" t="s">
        <v>523</v>
      </c>
    </row>
    <row r="88" spans="1:8" x14ac:dyDescent="0.2">
      <c r="A88" s="1054"/>
      <c r="B88" s="1054"/>
      <c r="C88" s="1093"/>
      <c r="D88" s="1093"/>
      <c r="E88" s="1092"/>
      <c r="F88" s="1092"/>
      <c r="G88" s="1091" t="s">
        <v>21</v>
      </c>
      <c r="H88" s="1090" t="s">
        <v>86</v>
      </c>
    </row>
    <row r="89" spans="1:8" x14ac:dyDescent="0.2">
      <c r="A89" s="1052" t="s">
        <v>522</v>
      </c>
      <c r="B89" s="1052" t="s">
        <v>521</v>
      </c>
      <c r="C89" s="1080"/>
      <c r="D89" s="1089"/>
      <c r="E89" s="1081">
        <v>10</v>
      </c>
      <c r="F89" s="1081">
        <v>2</v>
      </c>
      <c r="G89" s="1083"/>
      <c r="H89" s="1060"/>
    </row>
    <row r="90" spans="1:8" x14ac:dyDescent="0.2">
      <c r="A90" s="1054"/>
      <c r="B90" s="1052" t="s">
        <v>520</v>
      </c>
      <c r="C90" s="1088">
        <v>6.5</v>
      </c>
      <c r="D90" s="1087">
        <f>D71</f>
        <v>300</v>
      </c>
      <c r="E90" s="1081"/>
      <c r="F90" s="1081"/>
      <c r="G90" s="1083">
        <f>C90</f>
        <v>6.5</v>
      </c>
      <c r="H90" s="1060">
        <f>G90*D90</f>
        <v>1950</v>
      </c>
    </row>
    <row r="91" spans="1:8" x14ac:dyDescent="0.2">
      <c r="A91" s="1052"/>
      <c r="B91" s="1052" t="s">
        <v>519</v>
      </c>
      <c r="C91" s="1077"/>
      <c r="D91" s="1086">
        <v>1</v>
      </c>
      <c r="E91" s="1081">
        <v>25</v>
      </c>
      <c r="F91" s="1081">
        <v>4</v>
      </c>
      <c r="G91" s="1083">
        <v>13.6</v>
      </c>
      <c r="H91" s="1060">
        <f>G91*F91</f>
        <v>54.4</v>
      </c>
    </row>
    <row r="92" spans="1:8" x14ac:dyDescent="0.2">
      <c r="A92" s="1052"/>
      <c r="B92" s="1052" t="s">
        <v>518</v>
      </c>
      <c r="C92" s="1080"/>
      <c r="D92" s="1086"/>
      <c r="E92" s="1081">
        <v>35</v>
      </c>
      <c r="F92" s="1081"/>
      <c r="G92" s="1083"/>
      <c r="H92" s="1060"/>
    </row>
    <row r="93" spans="1:8" x14ac:dyDescent="0.2">
      <c r="A93" s="1052"/>
      <c r="B93" s="1052" t="s">
        <v>517</v>
      </c>
      <c r="C93" s="1080"/>
      <c r="D93" s="1086"/>
      <c r="E93" s="1081">
        <v>10</v>
      </c>
      <c r="F93" s="1081"/>
      <c r="G93" s="1083"/>
      <c r="H93" s="1060"/>
    </row>
    <row r="94" spans="1:8" x14ac:dyDescent="0.2">
      <c r="A94" s="1052"/>
      <c r="B94" s="1052" t="s">
        <v>516</v>
      </c>
      <c r="C94" s="1080"/>
      <c r="D94" s="1086"/>
      <c r="E94" s="1081">
        <v>18</v>
      </c>
      <c r="F94" s="1081"/>
      <c r="G94" s="1083"/>
      <c r="H94" s="1060"/>
    </row>
    <row r="95" spans="1:8" x14ac:dyDescent="0.2">
      <c r="A95" s="1052"/>
      <c r="B95" s="1052" t="s">
        <v>515</v>
      </c>
      <c r="C95" s="1077"/>
      <c r="D95" s="1085"/>
      <c r="E95" s="1081">
        <v>3</v>
      </c>
      <c r="F95" s="1081"/>
      <c r="G95" s="1083"/>
      <c r="H95" s="1060"/>
    </row>
    <row r="96" spans="1:8" x14ac:dyDescent="0.2">
      <c r="A96" s="1052"/>
      <c r="B96" s="1052" t="s">
        <v>449</v>
      </c>
      <c r="C96" s="1084">
        <v>125</v>
      </c>
      <c r="D96" s="1073">
        <v>3</v>
      </c>
      <c r="E96" s="1081">
        <v>3</v>
      </c>
      <c r="F96" s="1079"/>
      <c r="G96" s="1083">
        <v>3</v>
      </c>
      <c r="H96" s="1060">
        <f>G96*C96</f>
        <v>375</v>
      </c>
    </row>
    <row r="97" spans="1:8" x14ac:dyDescent="0.2">
      <c r="A97" s="1054" t="s">
        <v>514</v>
      </c>
      <c r="B97" s="1082">
        <v>0.1</v>
      </c>
      <c r="C97" s="1080" t="s">
        <v>513</v>
      </c>
      <c r="D97" s="1079"/>
      <c r="E97" s="1081">
        <f>SUM(E89:E96)*B97</f>
        <v>10.4</v>
      </c>
      <c r="F97" s="1081">
        <f>SUM(F89:F96)*B97</f>
        <v>0.60000000000000009</v>
      </c>
      <c r="G97" s="1081"/>
      <c r="H97" s="1060"/>
    </row>
    <row r="98" spans="1:8" x14ac:dyDescent="0.2">
      <c r="A98" s="1054" t="s">
        <v>512</v>
      </c>
      <c r="B98" s="1052"/>
      <c r="C98" s="1080"/>
      <c r="D98" s="1079"/>
      <c r="E98" s="1078">
        <f>SUM(E89:E97)</f>
        <v>114.4</v>
      </c>
      <c r="F98" s="1078">
        <f>SUM(F89:F97)</f>
        <v>6.6</v>
      </c>
      <c r="G98" s="1078"/>
      <c r="H98" s="1053">
        <f>SUM(H89:H97)</f>
        <v>2379.4</v>
      </c>
    </row>
    <row r="99" spans="1:8" x14ac:dyDescent="0.2">
      <c r="A99" s="1054" t="s">
        <v>511</v>
      </c>
      <c r="B99" s="1052"/>
      <c r="C99" s="1077"/>
      <c r="D99" s="1052"/>
      <c r="E99" s="1052"/>
      <c r="F99" s="1077"/>
      <c r="G99" s="1077"/>
      <c r="H99" s="1076"/>
    </row>
    <row r="100" spans="1:8" x14ac:dyDescent="0.2">
      <c r="A100" s="1054" t="s">
        <v>510</v>
      </c>
      <c r="B100" s="1052"/>
      <c r="C100" s="1052"/>
      <c r="D100" s="1075"/>
      <c r="E100" s="1074"/>
      <c r="F100" s="1052"/>
      <c r="G100" s="1052"/>
      <c r="H100" s="1060">
        <f>H85</f>
        <v>10881.65</v>
      </c>
    </row>
    <row r="101" spans="1:8" x14ac:dyDescent="0.2">
      <c r="A101" s="1054" t="s">
        <v>509</v>
      </c>
      <c r="B101" s="1054" t="s">
        <v>508</v>
      </c>
      <c r="C101" s="1052" t="s">
        <v>507</v>
      </c>
      <c r="D101" s="1073">
        <f>F98</f>
        <v>6.6</v>
      </c>
      <c r="E101" s="1069" t="s">
        <v>504</v>
      </c>
      <c r="F101" s="1072">
        <v>27.5</v>
      </c>
      <c r="G101" s="1071"/>
      <c r="H101" s="1060">
        <f>((D101*F101)+H98)</f>
        <v>2560.9</v>
      </c>
    </row>
    <row r="102" spans="1:8" ht="13.5" thickBot="1" x14ac:dyDescent="0.25">
      <c r="A102" s="1054" t="s">
        <v>506</v>
      </c>
      <c r="B102" s="1052"/>
      <c r="C102" s="1052" t="s">
        <v>505</v>
      </c>
      <c r="D102" s="1073">
        <f>E98</f>
        <v>114.4</v>
      </c>
      <c r="E102" s="1069" t="s">
        <v>504</v>
      </c>
      <c r="F102" s="1072">
        <f>'[1]Standard Vorgaben'!$C$36</f>
        <v>32.700000000000003</v>
      </c>
      <c r="G102" s="1071"/>
      <c r="H102" s="1055">
        <f>D102*F102</f>
        <v>3740.8800000000006</v>
      </c>
    </row>
    <row r="103" spans="1:8" x14ac:dyDescent="0.2">
      <c r="A103" s="1054" t="s">
        <v>503</v>
      </c>
      <c r="B103" s="1054"/>
      <c r="C103" s="1054"/>
      <c r="D103" s="1054"/>
      <c r="E103" s="1054"/>
      <c r="F103" s="1054"/>
      <c r="G103" s="1054"/>
      <c r="H103" s="1053">
        <f>SUM(H100:H102)</f>
        <v>17183.43</v>
      </c>
    </row>
    <row r="104" spans="1:8" x14ac:dyDescent="0.2">
      <c r="A104" s="1054" t="s">
        <v>577</v>
      </c>
      <c r="B104" s="1052"/>
      <c r="C104" s="1052"/>
      <c r="D104" s="1052"/>
      <c r="E104" s="1052"/>
      <c r="F104" s="1052"/>
      <c r="G104" s="1052"/>
      <c r="H104" s="1060"/>
    </row>
    <row r="105" spans="1:8" x14ac:dyDescent="0.2">
      <c r="A105" s="1052" t="s">
        <v>501</v>
      </c>
      <c r="B105" s="1052" t="s">
        <v>500</v>
      </c>
      <c r="C105" s="1070">
        <v>4</v>
      </c>
      <c r="D105" s="1062">
        <f>H100</f>
        <v>10881.65</v>
      </c>
      <c r="E105" s="1069" t="s">
        <v>498</v>
      </c>
      <c r="F105" s="1068">
        <v>60</v>
      </c>
      <c r="G105" s="1067"/>
      <c r="H105" s="1060">
        <f>(D105/100*F105)/100*C105</f>
        <v>261.15960000000001</v>
      </c>
    </row>
    <row r="106" spans="1:8" x14ac:dyDescent="0.2">
      <c r="A106" s="1052"/>
      <c r="B106" s="1052" t="s">
        <v>499</v>
      </c>
      <c r="C106" s="1070">
        <v>4</v>
      </c>
      <c r="D106" s="1062">
        <f>H90+H96</f>
        <v>2325</v>
      </c>
      <c r="E106" s="1069" t="s">
        <v>498</v>
      </c>
      <c r="F106" s="1068">
        <v>60</v>
      </c>
      <c r="G106" s="1067"/>
      <c r="H106" s="1060">
        <f>(D106/100*F106)/100*C106</f>
        <v>55.8</v>
      </c>
    </row>
    <row r="107" spans="1:8" x14ac:dyDescent="0.2">
      <c r="A107" s="1052" t="s">
        <v>497</v>
      </c>
      <c r="B107" s="1052"/>
      <c r="C107" s="1066">
        <f>D105</f>
        <v>10881.65</v>
      </c>
      <c r="D107" s="1052" t="s">
        <v>496</v>
      </c>
      <c r="E107" s="1052"/>
      <c r="F107" s="1052"/>
      <c r="G107" s="1052"/>
      <c r="H107" s="1060">
        <f>C107/15</f>
        <v>725.44333333333327</v>
      </c>
    </row>
    <row r="108" spans="1:8" x14ac:dyDescent="0.2">
      <c r="A108" s="1052" t="s">
        <v>495</v>
      </c>
      <c r="B108" s="1052"/>
      <c r="C108" s="1059" t="s">
        <v>494</v>
      </c>
      <c r="D108" s="1065"/>
      <c r="E108" s="1064"/>
      <c r="F108" s="1061"/>
      <c r="G108" s="1061"/>
      <c r="H108" s="1060">
        <v>50</v>
      </c>
    </row>
    <row r="109" spans="1:8" x14ac:dyDescent="0.2">
      <c r="A109" s="1052" t="s">
        <v>493</v>
      </c>
      <c r="B109" s="1052"/>
      <c r="C109" s="1059" t="s">
        <v>492</v>
      </c>
      <c r="D109" s="1058"/>
      <c r="E109" s="1063">
        <f>E51</f>
        <v>4</v>
      </c>
      <c r="F109" s="1072">
        <f>'[1]Standard Vorgaben'!$C$36</f>
        <v>32.700000000000003</v>
      </c>
      <c r="G109" s="1061"/>
      <c r="H109" s="1060">
        <f>E109*F109</f>
        <v>130.80000000000001</v>
      </c>
    </row>
    <row r="110" spans="1:8" x14ac:dyDescent="0.2">
      <c r="A110" s="1052"/>
      <c r="B110" s="1052"/>
      <c r="C110" s="1059" t="s">
        <v>491</v>
      </c>
      <c r="D110" s="1058"/>
      <c r="E110" s="1063">
        <f>E53</f>
        <v>10</v>
      </c>
      <c r="F110" s="1072">
        <f>'[1]Standard Vorgaben'!$C$36</f>
        <v>32.700000000000003</v>
      </c>
      <c r="G110" s="1061"/>
      <c r="H110" s="1060">
        <f>E110*F110</f>
        <v>327</v>
      </c>
    </row>
    <row r="111" spans="1:8" ht="13.5" thickBot="1" x14ac:dyDescent="0.25">
      <c r="A111" s="1052"/>
      <c r="B111" s="1052"/>
      <c r="C111" s="1059" t="s">
        <v>490</v>
      </c>
      <c r="D111" s="1058"/>
      <c r="E111" s="1057">
        <f>'[1]Standard Vorgaben'!C234</f>
        <v>500</v>
      </c>
      <c r="F111" s="1056">
        <f>'[1]Standard Vorgaben'!C233</f>
        <v>1</v>
      </c>
      <c r="G111" s="1056"/>
      <c r="H111" s="1055">
        <f>E111*F111</f>
        <v>500</v>
      </c>
    </row>
    <row r="112" spans="1:8" x14ac:dyDescent="0.2">
      <c r="A112" s="1054" t="s">
        <v>489</v>
      </c>
      <c r="B112" s="1054"/>
      <c r="C112" s="1054"/>
      <c r="D112" s="1054"/>
      <c r="E112" s="1054"/>
      <c r="F112" s="1054"/>
      <c r="G112" s="1054"/>
      <c r="H112" s="1053">
        <f>SUM(H104:H111)</f>
        <v>2050.202933333333</v>
      </c>
    </row>
    <row r="113" spans="1:8" x14ac:dyDescent="0.2">
      <c r="A113" s="1052"/>
      <c r="B113" s="1052"/>
      <c r="C113" s="1052"/>
      <c r="D113" s="1052"/>
      <c r="E113" s="1052"/>
      <c r="F113" s="1052"/>
      <c r="G113" s="1052"/>
      <c r="H113" s="1052"/>
    </row>
    <row r="114" spans="1:8" x14ac:dyDescent="0.2">
      <c r="A114" s="1052"/>
      <c r="B114" s="1052"/>
      <c r="C114" s="1052"/>
      <c r="D114" s="1052"/>
      <c r="E114" s="1052"/>
      <c r="F114" s="1052"/>
      <c r="G114" s="1052"/>
      <c r="H114" s="1052"/>
    </row>
  </sheetData>
  <mergeCells count="5">
    <mergeCell ref="B3:F3"/>
    <mergeCell ref="A4:H4"/>
    <mergeCell ref="A5:H5"/>
    <mergeCell ref="A60:H60"/>
    <mergeCell ref="A61:C61"/>
  </mergeCells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&amp;LArbokost 2008&amp;RAgroscope Changins - Wädenswil ACW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4</vt:i4>
      </vt:variant>
    </vt:vector>
  </HeadingPairs>
  <TitlesOfParts>
    <vt:vector size="17" baseType="lpstr">
      <vt:lpstr>Eingabeseite</vt:lpstr>
      <vt:lpstr>Variante Vorgaben</vt:lpstr>
      <vt:lpstr>Variante Bewässerung</vt:lpstr>
      <vt:lpstr>Variante Erstellung</vt:lpstr>
      <vt:lpstr>Variante 1.-20. Standjahr</vt:lpstr>
      <vt:lpstr>Variante Ertragsphase</vt:lpstr>
      <vt:lpstr>Variante Cashflow</vt:lpstr>
      <vt:lpstr>Standard Vorgaben</vt:lpstr>
      <vt:lpstr>Standard Bewässerung</vt:lpstr>
      <vt:lpstr>Standard Erstellung</vt:lpstr>
      <vt:lpstr>Standard 1.-20. Standjahr</vt:lpstr>
      <vt:lpstr>Standard Ertragsphase</vt:lpstr>
      <vt:lpstr>Standard Cashflow</vt:lpstr>
      <vt:lpstr>'Standard Cashflow'!Druckbereich</vt:lpstr>
      <vt:lpstr>'Standard Ertragsphase'!Druckbereich</vt:lpstr>
      <vt:lpstr>'Variante Cashflow'!Druckbereich</vt:lpstr>
      <vt:lpstr>'Variante Ertragsphase'!Druckbereich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Arbokost für Apfel</dc:title>
  <dc:subject>Entwicklung</dc:subject>
  <dc:creator>Obstbau</dc:creator>
  <cp:lastModifiedBy>Prevost Martina</cp:lastModifiedBy>
  <cp:lastPrinted>2007-02-22T07:48:45Z</cp:lastPrinted>
  <dcterms:created xsi:type="dcterms:W3CDTF">1999-04-12T09:35:11Z</dcterms:created>
  <dcterms:modified xsi:type="dcterms:W3CDTF">2024-12-10T11:12:09Z</dcterms:modified>
</cp:coreProperties>
</file>